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.Helmaņa 5\Projekts\"/>
    </mc:Choice>
  </mc:AlternateContent>
  <xr:revisionPtr revIDLastSave="0" documentId="13_ncr:1_{249ABE4E-87BB-4740-BA93-9728B66580F6}" xr6:coauthVersionLast="46" xr6:coauthVersionMax="46" xr10:uidLastSave="{00000000-0000-0000-0000-000000000000}"/>
  <bookViews>
    <workbookView xWindow="-108" yWindow="-108" windowWidth="23256" windowHeight="12576" tabRatio="846" activeTab="9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0" l="1"/>
  <c r="C55" i="9"/>
  <c r="C44" i="10" s="1"/>
  <c r="E50" i="9"/>
  <c r="E48" i="9"/>
  <c r="E47" i="9"/>
  <c r="E46" i="9"/>
  <c r="E45" i="9"/>
  <c r="E43" i="9"/>
  <c r="E42" i="9"/>
  <c r="E40" i="9"/>
  <c r="E39" i="9"/>
  <c r="E38" i="9"/>
  <c r="E37" i="9"/>
  <c r="E29" i="9"/>
  <c r="E30" i="9" s="1"/>
  <c r="E27" i="9"/>
  <c r="E24" i="9"/>
  <c r="E26" i="8"/>
  <c r="E28" i="8" s="1"/>
  <c r="A26" i="8"/>
  <c r="E20" i="8"/>
  <c r="E23" i="8" s="1"/>
  <c r="E25" i="8" s="1"/>
  <c r="E19" i="8"/>
  <c r="E18" i="8"/>
  <c r="E17" i="8"/>
  <c r="E15" i="8"/>
  <c r="E29" i="7"/>
  <c r="E64" i="6"/>
  <c r="E58" i="6"/>
  <c r="E48" i="6"/>
  <c r="E51" i="6" s="1"/>
  <c r="E42" i="6"/>
  <c r="E45" i="6" s="1"/>
  <c r="E38" i="6"/>
  <c r="E39" i="6" s="1"/>
  <c r="E37" i="6"/>
  <c r="E36" i="6"/>
  <c r="E34" i="6"/>
  <c r="A30" i="6"/>
  <c r="E27" i="6"/>
  <c r="E30" i="6" s="1"/>
  <c r="E32" i="6" s="1"/>
  <c r="A27" i="6"/>
  <c r="E25" i="6"/>
  <c r="E24" i="6"/>
  <c r="E22" i="6"/>
  <c r="E21" i="6"/>
  <c r="E19" i="6"/>
  <c r="A17" i="6"/>
  <c r="A18" i="6" s="1"/>
  <c r="A19" i="6" s="1"/>
  <c r="A20" i="6" s="1"/>
  <c r="E31" i="5"/>
  <c r="E32" i="9" l="1"/>
  <c r="E33" i="9"/>
  <c r="E31" i="9"/>
  <c r="E34" i="9"/>
  <c r="E35" i="9" s="1"/>
  <c r="E21" i="8"/>
  <c r="E22" i="8"/>
  <c r="E27" i="8"/>
  <c r="E28" i="6"/>
  <c r="E29" i="6"/>
  <c r="E46" i="6"/>
  <c r="E47" i="6"/>
  <c r="E40" i="6"/>
  <c r="E31" i="6"/>
  <c r="E43" i="6"/>
  <c r="E44" i="6"/>
  <c r="E49" i="6"/>
  <c r="E50" i="6" s="1"/>
  <c r="E80" i="5"/>
  <c r="E68" i="5"/>
  <c r="E71" i="5" s="1"/>
  <c r="E65" i="5"/>
  <c r="E67" i="5" s="1"/>
  <c r="E64" i="5"/>
  <c r="E63" i="5"/>
  <c r="E62" i="5"/>
  <c r="E55" i="5"/>
  <c r="E57" i="5" s="1"/>
  <c r="E51" i="5"/>
  <c r="E53" i="5" s="1"/>
  <c r="E50" i="5"/>
  <c r="E49" i="5"/>
  <c r="E48" i="5"/>
  <c r="A47" i="5"/>
  <c r="A51" i="5" s="1"/>
  <c r="A55" i="5" s="1"/>
  <c r="A58" i="5" s="1"/>
  <c r="E40" i="5"/>
  <c r="E37" i="5"/>
  <c r="E41" i="5" s="1"/>
  <c r="E24" i="5"/>
  <c r="E23" i="5"/>
  <c r="E18" i="5"/>
  <c r="E19" i="5" s="1"/>
  <c r="A17" i="5"/>
  <c r="E16" i="5"/>
  <c r="E59" i="4"/>
  <c r="E58" i="4"/>
  <c r="E57" i="4" s="1"/>
  <c r="E47" i="4"/>
  <c r="E46" i="4"/>
  <c r="E45" i="4"/>
  <c r="E48" i="4" s="1"/>
  <c r="E50" i="4" s="1"/>
  <c r="E42" i="4"/>
  <c r="E44" i="4" s="1"/>
  <c r="E36" i="4"/>
  <c r="E37" i="4" s="1"/>
  <c r="E38" i="4" s="1"/>
  <c r="E34" i="4"/>
  <c r="E33" i="4"/>
  <c r="E31" i="4"/>
  <c r="E16" i="4"/>
  <c r="E15" i="4"/>
  <c r="A24" i="3"/>
  <c r="A17" i="3"/>
  <c r="A22" i="3" s="1"/>
  <c r="C72" i="4"/>
  <c r="C92" i="5" s="1"/>
  <c r="C76" i="6" s="1"/>
  <c r="C51" i="7" s="1"/>
  <c r="C40" i="8" s="1"/>
  <c r="C63" i="9" s="1"/>
  <c r="C52" i="10" s="1"/>
  <c r="C69" i="4"/>
  <c r="C89" i="5" s="1"/>
  <c r="C73" i="6" s="1"/>
  <c r="C48" i="7" s="1"/>
  <c r="C37" i="8" s="1"/>
  <c r="C60" i="9" s="1"/>
  <c r="C49" i="10" s="1"/>
  <c r="C64" i="4"/>
  <c r="C84" i="5" s="1"/>
  <c r="C68" i="6" s="1"/>
  <c r="C43" i="7" s="1"/>
  <c r="C32" i="8" s="1"/>
  <c r="E66" i="5" l="1"/>
  <c r="E52" i="5"/>
  <c r="E58" i="5"/>
  <c r="E60" i="5" s="1"/>
  <c r="E43" i="5"/>
  <c r="E44" i="5"/>
  <c r="E32" i="5"/>
  <c r="E34" i="5"/>
  <c r="E33" i="5"/>
  <c r="E73" i="5"/>
  <c r="E72" i="5"/>
  <c r="E59" i="5"/>
  <c r="E69" i="5"/>
  <c r="E38" i="5"/>
  <c r="E70" i="5"/>
  <c r="E39" i="5"/>
  <c r="E30" i="5"/>
  <c r="E56" i="5"/>
  <c r="E39" i="4"/>
  <c r="E40" i="4"/>
  <c r="E41" i="4" s="1"/>
  <c r="E49" i="4"/>
  <c r="E43" i="4"/>
  <c r="E51" i="4"/>
  <c r="E52" i="4"/>
  <c r="A35" i="2"/>
  <c r="E46" i="5" l="1"/>
  <c r="E45" i="5"/>
  <c r="A36" i="3"/>
  <c r="P10" i="3" s="1"/>
  <c r="A47" i="10"/>
  <c r="P10" i="10" s="1"/>
  <c r="A35" i="8"/>
  <c r="P10" i="8" s="1"/>
  <c r="A71" i="6"/>
  <c r="P10" i="6" s="1"/>
  <c r="A67" i="4"/>
  <c r="P10" i="4" s="1"/>
  <c r="A58" i="9"/>
  <c r="P10" i="9" s="1"/>
  <c r="A46" i="7"/>
  <c r="P10" i="7" s="1"/>
  <c r="D9" i="2"/>
  <c r="D8" i="2"/>
  <c r="D7" i="2"/>
  <c r="D6" i="2"/>
  <c r="D7" i="10" l="1"/>
  <c r="D7" i="9"/>
  <c r="D7" i="8"/>
  <c r="D7" i="7"/>
  <c r="D7" i="6"/>
  <c r="D7" i="5"/>
  <c r="D7" i="4"/>
  <c r="D8" i="10"/>
  <c r="D8" i="9"/>
  <c r="D8" i="8"/>
  <c r="D8" i="7"/>
  <c r="D8" i="6"/>
  <c r="D8" i="5"/>
  <c r="D8" i="4"/>
  <c r="D5" i="10"/>
  <c r="D5" i="9"/>
  <c r="D5" i="8"/>
  <c r="D5" i="7"/>
  <c r="D5" i="6"/>
  <c r="D5" i="5"/>
  <c r="D5" i="4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42" i="6"/>
  <c r="H43" i="6"/>
  <c r="H44" i="6"/>
  <c r="H45" i="6"/>
  <c r="H46" i="6"/>
  <c r="H48" i="6"/>
  <c r="H49" i="6"/>
  <c r="H50" i="6"/>
  <c r="H52" i="6"/>
  <c r="H54" i="6"/>
  <c r="H55" i="6"/>
  <c r="H56" i="6"/>
  <c r="H58" i="6"/>
  <c r="H59" i="6"/>
  <c r="H60" i="6"/>
  <c r="H61" i="6"/>
  <c r="H62" i="6"/>
  <c r="H63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16" i="8"/>
  <c r="H18" i="8"/>
  <c r="H20" i="8"/>
  <c r="H22" i="8"/>
  <c r="H24" i="8"/>
  <c r="H26" i="8"/>
  <c r="H28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16" i="10"/>
  <c r="H18" i="10"/>
  <c r="H20" i="10"/>
  <c r="H22" i="10"/>
  <c r="H24" i="10"/>
  <c r="H28" i="10"/>
  <c r="H32" i="10"/>
  <c r="H36" i="10"/>
  <c r="H40" i="10"/>
  <c r="H14" i="6"/>
  <c r="H14" i="7"/>
  <c r="H14" i="9"/>
  <c r="H14" i="10"/>
  <c r="L28" i="6"/>
  <c r="L32" i="6"/>
  <c r="L52" i="6"/>
  <c r="L56" i="6"/>
  <c r="H21" i="6"/>
  <c r="H33" i="6"/>
  <c r="H41" i="6"/>
  <c r="H53" i="6"/>
  <c r="H57" i="6"/>
  <c r="H19" i="7"/>
  <c r="H23" i="7"/>
  <c r="H35" i="7"/>
  <c r="H39" i="7"/>
  <c r="H17" i="8"/>
  <c r="H21" i="8"/>
  <c r="H25" i="8"/>
  <c r="H15" i="9"/>
  <c r="H19" i="9"/>
  <c r="H23" i="9"/>
  <c r="H27" i="9"/>
  <c r="H31" i="9"/>
  <c r="H35" i="9"/>
  <c r="H39" i="9"/>
  <c r="H43" i="9"/>
  <c r="H47" i="9"/>
  <c r="H51" i="9"/>
  <c r="H29" i="10"/>
  <c r="H33" i="10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46" i="4"/>
  <c r="N47" i="4"/>
  <c r="N49" i="4"/>
  <c r="N50" i="4"/>
  <c r="N51" i="4"/>
  <c r="N53" i="4"/>
  <c r="N54" i="4"/>
  <c r="N55" i="4"/>
  <c r="N57" i="4"/>
  <c r="N58" i="4"/>
  <c r="N59" i="4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N35" i="5"/>
  <c r="N36" i="5"/>
  <c r="N37" i="5"/>
  <c r="N39" i="5"/>
  <c r="N40" i="5"/>
  <c r="N41" i="5"/>
  <c r="N43" i="5"/>
  <c r="N44" i="5"/>
  <c r="N45" i="5"/>
  <c r="N47" i="5"/>
  <c r="N48" i="5"/>
  <c r="N49" i="5"/>
  <c r="N51" i="5"/>
  <c r="N52" i="5"/>
  <c r="N53" i="5"/>
  <c r="N55" i="5"/>
  <c r="N56" i="5"/>
  <c r="N57" i="5"/>
  <c r="N59" i="5"/>
  <c r="N60" i="5"/>
  <c r="N61" i="5"/>
  <c r="N63" i="5"/>
  <c r="N64" i="5"/>
  <c r="N65" i="5"/>
  <c r="N67" i="5"/>
  <c r="N68" i="5"/>
  <c r="N69" i="5"/>
  <c r="N71" i="5"/>
  <c r="N72" i="5"/>
  <c r="N73" i="5"/>
  <c r="N75" i="5"/>
  <c r="N76" i="5"/>
  <c r="N77" i="5"/>
  <c r="N79" i="5"/>
  <c r="N80" i="5"/>
  <c r="N14" i="4"/>
  <c r="C22" i="2"/>
  <c r="C21" i="2"/>
  <c r="C20" i="2"/>
  <c r="C19" i="2"/>
  <c r="C18" i="2"/>
  <c r="C17" i="2"/>
  <c r="C16" i="2"/>
  <c r="C15" i="2"/>
  <c r="H64" i="6"/>
  <c r="H51" i="6"/>
  <c r="H47" i="6"/>
  <c r="H32" i="6"/>
  <c r="H27" i="6"/>
  <c r="H19" i="6"/>
  <c r="H37" i="7"/>
  <c r="H33" i="7"/>
  <c r="H21" i="7"/>
  <c r="H17" i="7"/>
  <c r="H27" i="8"/>
  <c r="H23" i="8"/>
  <c r="H19" i="8"/>
  <c r="H15" i="8"/>
  <c r="H49" i="9"/>
  <c r="H45" i="9"/>
  <c r="H41" i="9"/>
  <c r="H37" i="9"/>
  <c r="H33" i="9"/>
  <c r="H29" i="9"/>
  <c r="H25" i="9"/>
  <c r="H21" i="9"/>
  <c r="H17" i="9"/>
  <c r="H39" i="10"/>
  <c r="H35" i="10"/>
  <c r="H31" i="10"/>
  <c r="H27" i="10"/>
  <c r="H23" i="10"/>
  <c r="H19" i="10"/>
  <c r="H15" i="10"/>
  <c r="L80" i="5"/>
  <c r="H80" i="5"/>
  <c r="O80" i="5" s="1"/>
  <c r="L79" i="5"/>
  <c r="H79" i="5"/>
  <c r="N78" i="5"/>
  <c r="L78" i="5"/>
  <c r="H78" i="5"/>
  <c r="L77" i="5"/>
  <c r="H77" i="5"/>
  <c r="L76" i="5"/>
  <c r="H76" i="5"/>
  <c r="O76" i="5" s="1"/>
  <c r="L75" i="5"/>
  <c r="H75" i="5"/>
  <c r="N74" i="5"/>
  <c r="L74" i="5"/>
  <c r="H74" i="5"/>
  <c r="M74" i="5" s="1"/>
  <c r="L73" i="5"/>
  <c r="H73" i="5"/>
  <c r="L72" i="5"/>
  <c r="H72" i="5"/>
  <c r="O72" i="5" s="1"/>
  <c r="L71" i="5"/>
  <c r="H71" i="5"/>
  <c r="N70" i="5"/>
  <c r="L70" i="5"/>
  <c r="H70" i="5"/>
  <c r="M70" i="5" s="1"/>
  <c r="L69" i="5"/>
  <c r="H69" i="5"/>
  <c r="L68" i="5"/>
  <c r="H68" i="5"/>
  <c r="O68" i="5" s="1"/>
  <c r="L67" i="5"/>
  <c r="H67" i="5"/>
  <c r="N66" i="5"/>
  <c r="L66" i="5"/>
  <c r="H66" i="5"/>
  <c r="M66" i="5" s="1"/>
  <c r="L65" i="5"/>
  <c r="H65" i="5"/>
  <c r="L64" i="5"/>
  <c r="H64" i="5"/>
  <c r="O64" i="5" s="1"/>
  <c r="L63" i="5"/>
  <c r="H63" i="5"/>
  <c r="N62" i="5"/>
  <c r="L62" i="5"/>
  <c r="H62" i="5"/>
  <c r="L61" i="5"/>
  <c r="H61" i="5"/>
  <c r="L60" i="5"/>
  <c r="H60" i="5"/>
  <c r="O60" i="5" s="1"/>
  <c r="L59" i="5"/>
  <c r="H59" i="5"/>
  <c r="N58" i="5"/>
  <c r="L58" i="5"/>
  <c r="H58" i="5"/>
  <c r="M58" i="5" s="1"/>
  <c r="L57" i="5"/>
  <c r="H57" i="5"/>
  <c r="L56" i="5"/>
  <c r="H56" i="5"/>
  <c r="O56" i="5" s="1"/>
  <c r="L55" i="5"/>
  <c r="H55" i="5"/>
  <c r="N54" i="5"/>
  <c r="L54" i="5"/>
  <c r="H54" i="5"/>
  <c r="M54" i="5" s="1"/>
  <c r="L53" i="5"/>
  <c r="H53" i="5"/>
  <c r="L52" i="5"/>
  <c r="H52" i="5"/>
  <c r="O52" i="5" s="1"/>
  <c r="L51" i="5"/>
  <c r="H51" i="5"/>
  <c r="N50" i="5"/>
  <c r="L50" i="5"/>
  <c r="H50" i="5"/>
  <c r="M50" i="5" s="1"/>
  <c r="L49" i="5"/>
  <c r="H49" i="5"/>
  <c r="L48" i="5"/>
  <c r="H48" i="5"/>
  <c r="O48" i="5" s="1"/>
  <c r="L47" i="5"/>
  <c r="H47" i="5"/>
  <c r="N46" i="5"/>
  <c r="L46" i="5"/>
  <c r="H46" i="5"/>
  <c r="L45" i="5"/>
  <c r="H45" i="5"/>
  <c r="L44" i="5"/>
  <c r="H44" i="5"/>
  <c r="O44" i="5" s="1"/>
  <c r="L43" i="5"/>
  <c r="H43" i="5"/>
  <c r="N42" i="5"/>
  <c r="L42" i="5"/>
  <c r="H42" i="5"/>
  <c r="M42" i="5" s="1"/>
  <c r="L41" i="5"/>
  <c r="H41" i="5"/>
  <c r="L40" i="5"/>
  <c r="H40" i="5"/>
  <c r="O40" i="5" s="1"/>
  <c r="L39" i="5"/>
  <c r="H39" i="5"/>
  <c r="N38" i="5"/>
  <c r="L38" i="5"/>
  <c r="H38" i="5"/>
  <c r="M38" i="5" s="1"/>
  <c r="L37" i="5"/>
  <c r="H37" i="5"/>
  <c r="L36" i="5"/>
  <c r="H36" i="5"/>
  <c r="O36" i="5" s="1"/>
  <c r="L35" i="5"/>
  <c r="H35" i="5"/>
  <c r="N34" i="5"/>
  <c r="L34" i="5"/>
  <c r="H34" i="5"/>
  <c r="M34" i="5" s="1"/>
  <c r="L33" i="5"/>
  <c r="H33" i="5"/>
  <c r="L32" i="5"/>
  <c r="H32" i="5"/>
  <c r="O32" i="5" s="1"/>
  <c r="L31" i="5"/>
  <c r="H31" i="5"/>
  <c r="N30" i="5"/>
  <c r="L30" i="5"/>
  <c r="H30" i="5"/>
  <c r="L29" i="5"/>
  <c r="H29" i="5"/>
  <c r="L28" i="5"/>
  <c r="H28" i="5"/>
  <c r="O28" i="5" s="1"/>
  <c r="L27" i="5"/>
  <c r="H27" i="5"/>
  <c r="N26" i="5"/>
  <c r="L26" i="5"/>
  <c r="H26" i="5"/>
  <c r="M26" i="5" s="1"/>
  <c r="L25" i="5"/>
  <c r="H25" i="5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N60" i="4"/>
  <c r="L60" i="4"/>
  <c r="H60" i="4"/>
  <c r="L59" i="4"/>
  <c r="H59" i="4"/>
  <c r="L58" i="4"/>
  <c r="H58" i="4"/>
  <c r="L57" i="4"/>
  <c r="H57" i="4"/>
  <c r="O57" i="4" s="1"/>
  <c r="N56" i="4"/>
  <c r="L56" i="4"/>
  <c r="H56" i="4"/>
  <c r="L55" i="4"/>
  <c r="H55" i="4"/>
  <c r="L54" i="4"/>
  <c r="H54" i="4"/>
  <c r="L53" i="4"/>
  <c r="H53" i="4"/>
  <c r="N52" i="4"/>
  <c r="L52" i="4"/>
  <c r="H52" i="4"/>
  <c r="L51" i="4"/>
  <c r="H51" i="4"/>
  <c r="L50" i="4"/>
  <c r="H50" i="4"/>
  <c r="L49" i="4"/>
  <c r="H49" i="4"/>
  <c r="N48" i="4"/>
  <c r="L48" i="4"/>
  <c r="H48" i="4"/>
  <c r="L47" i="4"/>
  <c r="H47" i="4"/>
  <c r="L46" i="4"/>
  <c r="H46" i="4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28" i="8" l="1"/>
  <c r="L40" i="10"/>
  <c r="L36" i="10"/>
  <c r="L32" i="10"/>
  <c r="L28" i="10"/>
  <c r="N21" i="10"/>
  <c r="N17" i="10"/>
  <c r="O40" i="10"/>
  <c r="O32" i="6"/>
  <c r="O32" i="10"/>
  <c r="O64" i="6"/>
  <c r="O28" i="8"/>
  <c r="O60" i="6"/>
  <c r="O56" i="6"/>
  <c r="O44" i="6"/>
  <c r="O40" i="6"/>
  <c r="O36" i="6"/>
  <c r="L24" i="10"/>
  <c r="L20" i="10"/>
  <c r="L16" i="10"/>
  <c r="L22" i="9"/>
  <c r="L18" i="9"/>
  <c r="L24" i="8"/>
  <c r="L20" i="8"/>
  <c r="L16" i="8"/>
  <c r="L22" i="7"/>
  <c r="L18" i="7"/>
  <c r="L24" i="6"/>
  <c r="L20" i="6"/>
  <c r="L16" i="6"/>
  <c r="N40" i="10"/>
  <c r="N36" i="10"/>
  <c r="N32" i="10"/>
  <c r="N28" i="10"/>
  <c r="N28" i="8"/>
  <c r="N52" i="6"/>
  <c r="N48" i="6"/>
  <c r="N14" i="8"/>
  <c r="M18" i="9"/>
  <c r="O20" i="8"/>
  <c r="O22" i="9"/>
  <c r="O24" i="8"/>
  <c r="N24" i="10"/>
  <c r="N20" i="10"/>
  <c r="N16" i="10"/>
  <c r="N22" i="9"/>
  <c r="N18" i="9"/>
  <c r="N24" i="8"/>
  <c r="N20" i="8"/>
  <c r="N16" i="8"/>
  <c r="N22" i="7"/>
  <c r="N18" i="7"/>
  <c r="N24" i="6"/>
  <c r="N20" i="6"/>
  <c r="N16" i="6"/>
  <c r="L38" i="10"/>
  <c r="H38" i="10"/>
  <c r="L34" i="10"/>
  <c r="H34" i="10"/>
  <c r="L30" i="10"/>
  <c r="H30" i="10"/>
  <c r="L26" i="10"/>
  <c r="H26" i="10"/>
  <c r="L32" i="9"/>
  <c r="H32" i="9"/>
  <c r="N19" i="10"/>
  <c r="L44" i="9"/>
  <c r="L40" i="9"/>
  <c r="N28" i="9"/>
  <c r="N56" i="6"/>
  <c r="L48" i="6"/>
  <c r="N32" i="6"/>
  <c r="N28" i="6"/>
  <c r="K24" i="7"/>
  <c r="N64" i="6"/>
  <c r="L64" i="6"/>
  <c r="N60" i="6"/>
  <c r="L60" i="6"/>
  <c r="N44" i="6"/>
  <c r="L44" i="6"/>
  <c r="N40" i="6"/>
  <c r="L40" i="6"/>
  <c r="N36" i="6"/>
  <c r="L36" i="6"/>
  <c r="O48" i="6"/>
  <c r="O52" i="6"/>
  <c r="N50" i="9"/>
  <c r="L50" i="9"/>
  <c r="L46" i="9"/>
  <c r="N46" i="9"/>
  <c r="N42" i="9"/>
  <c r="L42" i="9"/>
  <c r="L38" i="9"/>
  <c r="N38" i="9"/>
  <c r="N34" i="9"/>
  <c r="L34" i="9"/>
  <c r="N30" i="9"/>
  <c r="L30" i="9"/>
  <c r="L26" i="9"/>
  <c r="N26" i="9"/>
  <c r="M34" i="9"/>
  <c r="O46" i="9"/>
  <c r="P46" i="9" s="1"/>
  <c r="M26" i="9"/>
  <c r="O42" i="9"/>
  <c r="L22" i="10"/>
  <c r="L18" i="10"/>
  <c r="N24" i="9"/>
  <c r="L20" i="9"/>
  <c r="N16" i="9"/>
  <c r="N38" i="7"/>
  <c r="L38" i="7"/>
  <c r="L34" i="7"/>
  <c r="N34" i="7"/>
  <c r="L30" i="7"/>
  <c r="N30" i="7"/>
  <c r="L26" i="7"/>
  <c r="N26" i="7"/>
  <c r="K36" i="7"/>
  <c r="L37" i="10"/>
  <c r="H37" i="10"/>
  <c r="M37" i="10" s="1"/>
  <c r="L25" i="10"/>
  <c r="H25" i="10"/>
  <c r="L21" i="10"/>
  <c r="H21" i="10"/>
  <c r="L17" i="10"/>
  <c r="H17" i="10"/>
  <c r="L33" i="10"/>
  <c r="K20" i="7"/>
  <c r="K33" i="7"/>
  <c r="O34" i="7"/>
  <c r="M18" i="7"/>
  <c r="N35" i="10"/>
  <c r="N27" i="10"/>
  <c r="N29" i="9"/>
  <c r="N35" i="7"/>
  <c r="M57" i="4"/>
  <c r="K15" i="10"/>
  <c r="K41" i="9"/>
  <c r="K31" i="10"/>
  <c r="K39" i="10"/>
  <c r="K28" i="7"/>
  <c r="K32" i="7"/>
  <c r="L39" i="10"/>
  <c r="L31" i="10"/>
  <c r="L23" i="10"/>
  <c r="L15" i="10"/>
  <c r="L49" i="9"/>
  <c r="M24" i="4"/>
  <c r="M44" i="4"/>
  <c r="O44" i="4"/>
  <c r="O53" i="4"/>
  <c r="M15" i="4"/>
  <c r="O15" i="4"/>
  <c r="O25" i="4"/>
  <c r="M27" i="4"/>
  <c r="O27" i="4"/>
  <c r="M36" i="4"/>
  <c r="O36" i="4"/>
  <c r="O46" i="4"/>
  <c r="M55" i="4"/>
  <c r="O55" i="4"/>
  <c r="M19" i="4"/>
  <c r="O19" i="4"/>
  <c r="P19" i="4" s="1"/>
  <c r="M20" i="4"/>
  <c r="O20" i="4"/>
  <c r="O21" i="4"/>
  <c r="O22" i="4"/>
  <c r="O30" i="4"/>
  <c r="M31" i="4"/>
  <c r="O31" i="4"/>
  <c r="M32" i="4"/>
  <c r="P32" i="4" s="1"/>
  <c r="O32" i="4"/>
  <c r="O33" i="4"/>
  <c r="O41" i="4"/>
  <c r="O42" i="4"/>
  <c r="M46" i="4"/>
  <c r="O49" i="4"/>
  <c r="O50" i="4"/>
  <c r="M51" i="4"/>
  <c r="P51" i="4" s="1"/>
  <c r="O51" i="4"/>
  <c r="M52" i="4"/>
  <c r="O58" i="4"/>
  <c r="M59" i="4"/>
  <c r="O59" i="4"/>
  <c r="M60" i="4"/>
  <c r="O23" i="5"/>
  <c r="M25" i="5"/>
  <c r="P25" i="5" s="1"/>
  <c r="O25" i="5"/>
  <c r="O26" i="5"/>
  <c r="O39" i="5"/>
  <c r="M41" i="5"/>
  <c r="O41" i="5"/>
  <c r="O42" i="5"/>
  <c r="O55" i="5"/>
  <c r="M57" i="5"/>
  <c r="P57" i="5" s="1"/>
  <c r="O57" i="5"/>
  <c r="O58" i="5"/>
  <c r="O71" i="5"/>
  <c r="M73" i="5"/>
  <c r="O73" i="5"/>
  <c r="O74" i="5"/>
  <c r="O27" i="5"/>
  <c r="M29" i="5"/>
  <c r="O29" i="5"/>
  <c r="O30" i="5"/>
  <c r="O43" i="5"/>
  <c r="M45" i="5"/>
  <c r="O45" i="5"/>
  <c r="O46" i="5"/>
  <c r="O59" i="5"/>
  <c r="M61" i="5"/>
  <c r="O61" i="5"/>
  <c r="O62" i="5"/>
  <c r="O75" i="5"/>
  <c r="M77" i="5"/>
  <c r="O77" i="5"/>
  <c r="O78" i="5"/>
  <c r="M23" i="4"/>
  <c r="O23" i="4"/>
  <c r="M43" i="4"/>
  <c r="O43" i="4"/>
  <c r="M16" i="4"/>
  <c r="P16" i="4" s="1"/>
  <c r="O16" i="4"/>
  <c r="O26" i="4"/>
  <c r="O37" i="4"/>
  <c r="O45" i="4"/>
  <c r="O54" i="4"/>
  <c r="M56" i="4"/>
  <c r="O56" i="4"/>
  <c r="O15" i="5"/>
  <c r="M17" i="5"/>
  <c r="O17" i="5"/>
  <c r="O18" i="5"/>
  <c r="O31" i="5"/>
  <c r="M33" i="5"/>
  <c r="O33" i="5"/>
  <c r="O34" i="5"/>
  <c r="O47" i="5"/>
  <c r="M49" i="5"/>
  <c r="O49" i="5"/>
  <c r="O50" i="5"/>
  <c r="O63" i="5"/>
  <c r="M65" i="5"/>
  <c r="O65" i="5"/>
  <c r="O66" i="5"/>
  <c r="O79" i="5"/>
  <c r="O34" i="4"/>
  <c r="P34" i="4" s="1"/>
  <c r="O17" i="4"/>
  <c r="M28" i="4"/>
  <c r="O28" i="4"/>
  <c r="M35" i="4"/>
  <c r="O35" i="4"/>
  <c r="O38" i="4"/>
  <c r="P38" i="4" s="1"/>
  <c r="O18" i="4"/>
  <c r="O29" i="4"/>
  <c r="P29" i="4" s="1"/>
  <c r="M34" i="4"/>
  <c r="M39" i="4"/>
  <c r="O39" i="4"/>
  <c r="M40" i="4"/>
  <c r="M47" i="4"/>
  <c r="O47" i="4"/>
  <c r="M48" i="4"/>
  <c r="M53" i="4"/>
  <c r="P53" i="4" s="1"/>
  <c r="K57" i="4"/>
  <c r="O19" i="5"/>
  <c r="M21" i="5"/>
  <c r="O21" i="5"/>
  <c r="O22" i="5"/>
  <c r="M30" i="5"/>
  <c r="O35" i="5"/>
  <c r="M37" i="5"/>
  <c r="P37" i="5" s="1"/>
  <c r="O37" i="5"/>
  <c r="O38" i="5"/>
  <c r="M46" i="5"/>
  <c r="O51" i="5"/>
  <c r="M53" i="5"/>
  <c r="O53" i="5"/>
  <c r="O54" i="5"/>
  <c r="M62" i="5"/>
  <c r="O67" i="5"/>
  <c r="M69" i="5"/>
  <c r="O69" i="5"/>
  <c r="O70" i="5"/>
  <c r="M78" i="5"/>
  <c r="K37" i="9"/>
  <c r="M46" i="9"/>
  <c r="O38" i="7"/>
  <c r="M38" i="7"/>
  <c r="M29" i="10"/>
  <c r="O29" i="10"/>
  <c r="K28" i="9"/>
  <c r="M38" i="9"/>
  <c r="O38" i="9"/>
  <c r="M20" i="10"/>
  <c r="K23" i="10"/>
  <c r="M28" i="10"/>
  <c r="K28" i="10"/>
  <c r="M36" i="10"/>
  <c r="O36" i="10"/>
  <c r="P36" i="10" s="1"/>
  <c r="O18" i="9"/>
  <c r="K35" i="9"/>
  <c r="K46" i="9"/>
  <c r="K49" i="9"/>
  <c r="K16" i="7"/>
  <c r="O30" i="7"/>
  <c r="M30" i="7"/>
  <c r="M33" i="10"/>
  <c r="K36" i="9"/>
  <c r="K44" i="9"/>
  <c r="K51" i="9"/>
  <c r="K21" i="8"/>
  <c r="K42" i="6"/>
  <c r="K58" i="6"/>
  <c r="K21" i="9"/>
  <c r="M16" i="6"/>
  <c r="K16" i="6"/>
  <c r="K18" i="6"/>
  <c r="O33" i="6"/>
  <c r="O49" i="6"/>
  <c r="K54" i="6"/>
  <c r="O26" i="9"/>
  <c r="M30" i="9"/>
  <c r="O34" i="9"/>
  <c r="P34" i="9" s="1"/>
  <c r="M50" i="9"/>
  <c r="K50" i="6"/>
  <c r="K17" i="7"/>
  <c r="M16" i="8"/>
  <c r="K30" i="6"/>
  <c r="K46" i="6"/>
  <c r="K57" i="6"/>
  <c r="N37" i="10"/>
  <c r="N33" i="10"/>
  <c r="N29" i="10"/>
  <c r="L29" i="10"/>
  <c r="N25" i="10"/>
  <c r="M25" i="10"/>
  <c r="L51" i="9"/>
  <c r="N51" i="9"/>
  <c r="L47" i="9"/>
  <c r="O47" i="9"/>
  <c r="N47" i="9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N25" i="8"/>
  <c r="L25" i="8"/>
  <c r="N21" i="8"/>
  <c r="L21" i="8"/>
  <c r="N17" i="8"/>
  <c r="L17" i="8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N61" i="6"/>
  <c r="M61" i="6"/>
  <c r="L61" i="6"/>
  <c r="M57" i="6"/>
  <c r="L57" i="6"/>
  <c r="N57" i="6"/>
  <c r="L53" i="6"/>
  <c r="N53" i="6"/>
  <c r="M53" i="6"/>
  <c r="N49" i="6"/>
  <c r="M49" i="6"/>
  <c r="L49" i="6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17" i="8"/>
  <c r="M25" i="8"/>
  <c r="M19" i="7"/>
  <c r="M21" i="8"/>
  <c r="M23" i="7"/>
  <c r="M31" i="7"/>
  <c r="M35" i="7"/>
  <c r="M39" i="7"/>
  <c r="O32" i="7"/>
  <c r="L14" i="8"/>
  <c r="H14" i="8"/>
  <c r="M14" i="8" s="1"/>
  <c r="K22" i="6"/>
  <c r="K26" i="6"/>
  <c r="K14" i="4"/>
  <c r="K14" i="9"/>
  <c r="O25" i="10"/>
  <c r="O26" i="7"/>
  <c r="O22" i="7"/>
  <c r="O18" i="7"/>
  <c r="O25" i="6"/>
  <c r="O21" i="6"/>
  <c r="O17" i="6"/>
  <c r="O14" i="9"/>
  <c r="O14" i="5"/>
  <c r="P14" i="5" s="1"/>
  <c r="K20" i="9"/>
  <c r="K15" i="8"/>
  <c r="K19" i="8"/>
  <c r="K21" i="6"/>
  <c r="K25" i="10"/>
  <c r="K18" i="7"/>
  <c r="O24" i="10"/>
  <c r="O16" i="10"/>
  <c r="O27" i="9"/>
  <c r="O23" i="9"/>
  <c r="O19" i="9"/>
  <c r="O15" i="9"/>
  <c r="O28" i="6"/>
  <c r="O24" i="6"/>
  <c r="O20" i="6"/>
  <c r="K25" i="6"/>
  <c r="K23" i="8"/>
  <c r="K15" i="9"/>
  <c r="K18" i="8"/>
  <c r="K19" i="9"/>
  <c r="K23" i="9"/>
  <c r="M48" i="9"/>
  <c r="K27" i="9"/>
  <c r="K26" i="8"/>
  <c r="K22" i="8"/>
  <c r="L14" i="7"/>
  <c r="N14" i="7"/>
  <c r="P57" i="4"/>
  <c r="P17" i="4"/>
  <c r="L14" i="10"/>
  <c r="O14" i="10"/>
  <c r="O14" i="6"/>
  <c r="N14" i="6"/>
  <c r="L14" i="6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P22" i="4"/>
  <c r="P33" i="4"/>
  <c r="N14" i="10"/>
  <c r="N49" i="9"/>
  <c r="O49" i="9"/>
  <c r="N45" i="9"/>
  <c r="O45" i="9"/>
  <c r="P45" i="9" s="1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63" i="6"/>
  <c r="N63" i="6"/>
  <c r="L63" i="6"/>
  <c r="L59" i="6"/>
  <c r="O59" i="6"/>
  <c r="N59" i="6"/>
  <c r="O55" i="6"/>
  <c r="N55" i="6"/>
  <c r="L55" i="6"/>
  <c r="L51" i="6"/>
  <c r="O51" i="6"/>
  <c r="N51" i="6"/>
  <c r="O47" i="6"/>
  <c r="N47" i="6"/>
  <c r="L47" i="6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M14" i="10"/>
  <c r="M15" i="10"/>
  <c r="M19" i="10"/>
  <c r="M23" i="10"/>
  <c r="M27" i="10"/>
  <c r="M31" i="10"/>
  <c r="M35" i="10"/>
  <c r="M39" i="10"/>
  <c r="M29" i="9"/>
  <c r="M45" i="9"/>
  <c r="M41" i="9"/>
  <c r="M37" i="9"/>
  <c r="M49" i="9"/>
  <c r="M21" i="9"/>
  <c r="M17" i="7"/>
  <c r="K16" i="4"/>
  <c r="M25" i="4"/>
  <c r="M30" i="4"/>
  <c r="P30" i="4" s="1"/>
  <c r="K32" i="4"/>
  <c r="M49" i="4"/>
  <c r="P49" i="4" s="1"/>
  <c r="M54" i="4"/>
  <c r="K56" i="4"/>
  <c r="M24" i="5"/>
  <c r="P24" i="5" s="1"/>
  <c r="K24" i="5"/>
  <c r="M40" i="5"/>
  <c r="P40" i="5" s="1"/>
  <c r="K40" i="5"/>
  <c r="M56" i="5"/>
  <c r="P56" i="5" s="1"/>
  <c r="K56" i="5"/>
  <c r="M72" i="5"/>
  <c r="P72" i="5" s="1"/>
  <c r="K72" i="5"/>
  <c r="M21" i="4"/>
  <c r="P21" i="4" s="1"/>
  <c r="M26" i="4"/>
  <c r="P26" i="4" s="1"/>
  <c r="M37" i="4"/>
  <c r="P37" i="4" s="1"/>
  <c r="M41" i="4"/>
  <c r="P41" i="4" s="1"/>
  <c r="M45" i="4"/>
  <c r="M50" i="4"/>
  <c r="P50" i="4" s="1"/>
  <c r="M58" i="4"/>
  <c r="M28" i="5"/>
  <c r="P28" i="5" s="1"/>
  <c r="K28" i="5"/>
  <c r="M44" i="5"/>
  <c r="P44" i="5" s="1"/>
  <c r="K44" i="5"/>
  <c r="M60" i="5"/>
  <c r="P60" i="5" s="1"/>
  <c r="K60" i="5"/>
  <c r="M76" i="5"/>
  <c r="P76" i="5" s="1"/>
  <c r="K76" i="5"/>
  <c r="M16" i="5"/>
  <c r="P16" i="5" s="1"/>
  <c r="K16" i="5"/>
  <c r="M32" i="5"/>
  <c r="P32" i="5" s="1"/>
  <c r="K32" i="5"/>
  <c r="M48" i="5"/>
  <c r="P48" i="5" s="1"/>
  <c r="K48" i="5"/>
  <c r="M64" i="5"/>
  <c r="P64" i="5" s="1"/>
  <c r="K64" i="5"/>
  <c r="M80" i="5"/>
  <c r="P80" i="5" s="1"/>
  <c r="K80" i="5"/>
  <c r="K20" i="4"/>
  <c r="K36" i="4"/>
  <c r="M20" i="5"/>
  <c r="P20" i="5" s="1"/>
  <c r="K20" i="5"/>
  <c r="M36" i="5"/>
  <c r="P36" i="5" s="1"/>
  <c r="K36" i="5"/>
  <c r="M52" i="5"/>
  <c r="P52" i="5" s="1"/>
  <c r="K52" i="5"/>
  <c r="M68" i="5"/>
  <c r="P68" i="5" s="1"/>
  <c r="K68" i="5"/>
  <c r="K17" i="5"/>
  <c r="K21" i="5"/>
  <c r="K25" i="5"/>
  <c r="K29" i="5"/>
  <c r="K33" i="5"/>
  <c r="K37" i="5"/>
  <c r="K41" i="5"/>
  <c r="K45" i="5"/>
  <c r="K49" i="5"/>
  <c r="K53" i="5"/>
  <c r="K57" i="5"/>
  <c r="K61" i="5"/>
  <c r="K65" i="5"/>
  <c r="K69" i="5"/>
  <c r="K73" i="5"/>
  <c r="K77" i="5"/>
  <c r="M16" i="10"/>
  <c r="K16" i="10"/>
  <c r="M24" i="10"/>
  <c r="K24" i="10"/>
  <c r="M32" i="10"/>
  <c r="P32" i="10" s="1"/>
  <c r="K32" i="10"/>
  <c r="M40" i="10"/>
  <c r="P40" i="10" s="1"/>
  <c r="K40" i="10"/>
  <c r="K21" i="7"/>
  <c r="M21" i="7"/>
  <c r="K29" i="7"/>
  <c r="M29" i="7"/>
  <c r="K37" i="7"/>
  <c r="M37" i="7"/>
  <c r="M17" i="6"/>
  <c r="K17" i="6"/>
  <c r="M25" i="9"/>
  <c r="K25" i="9"/>
  <c r="M33" i="9"/>
  <c r="K33" i="9"/>
  <c r="M42" i="9"/>
  <c r="K42" i="9"/>
  <c r="K19" i="10"/>
  <c r="K27" i="10"/>
  <c r="K35" i="10"/>
  <c r="M17" i="9"/>
  <c r="K17" i="9"/>
  <c r="K47" i="9"/>
  <c r="M47" i="9"/>
  <c r="M24" i="8"/>
  <c r="P24" i="8" s="1"/>
  <c r="K24" i="8"/>
  <c r="M22" i="9"/>
  <c r="P22" i="9" s="1"/>
  <c r="K22" i="9"/>
  <c r="K45" i="9"/>
  <c r="K27" i="8"/>
  <c r="M27" i="8"/>
  <c r="M25" i="7"/>
  <c r="K25" i="7"/>
  <c r="K34" i="7"/>
  <c r="M34" i="7"/>
  <c r="P34" i="7" s="1"/>
  <c r="M15" i="9"/>
  <c r="M31" i="9"/>
  <c r="M51" i="9"/>
  <c r="K23" i="7"/>
  <c r="K35" i="7"/>
  <c r="M20" i="6"/>
  <c r="K20" i="6"/>
  <c r="M28" i="6"/>
  <c r="K28" i="6"/>
  <c r="M36" i="6"/>
  <c r="P36" i="6" s="1"/>
  <c r="K36" i="6"/>
  <c r="M44" i="6"/>
  <c r="P44" i="6" s="1"/>
  <c r="K44" i="6"/>
  <c r="M52" i="6"/>
  <c r="P52" i="6" s="1"/>
  <c r="K52" i="6"/>
  <c r="M60" i="6"/>
  <c r="P60" i="6" s="1"/>
  <c r="K60" i="6"/>
  <c r="M24" i="6"/>
  <c r="K24" i="6"/>
  <c r="M32" i="6"/>
  <c r="P32" i="6" s="1"/>
  <c r="K32" i="6"/>
  <c r="M40" i="6"/>
  <c r="P40" i="6" s="1"/>
  <c r="K40" i="6"/>
  <c r="M48" i="6"/>
  <c r="P48" i="6" s="1"/>
  <c r="K48" i="6"/>
  <c r="M56" i="6"/>
  <c r="P56" i="6" s="1"/>
  <c r="K56" i="6"/>
  <c r="M64" i="6"/>
  <c r="P64" i="6" s="1"/>
  <c r="K64" i="6"/>
  <c r="M14" i="4"/>
  <c r="P14" i="4" s="1"/>
  <c r="P43" i="4"/>
  <c r="N81" i="5"/>
  <c r="G17" i="2" s="1"/>
  <c r="P18" i="4"/>
  <c r="N14" i="9"/>
  <c r="L14" i="9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M26" i="8"/>
  <c r="L26" i="8"/>
  <c r="O26" i="8"/>
  <c r="N26" i="8"/>
  <c r="L22" i="8"/>
  <c r="O22" i="8"/>
  <c r="N22" i="8"/>
  <c r="M22" i="8"/>
  <c r="O18" i="8"/>
  <c r="N18" i="8"/>
  <c r="M18" i="8"/>
  <c r="L18" i="8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N62" i="6"/>
  <c r="M62" i="6"/>
  <c r="L62" i="6"/>
  <c r="O58" i="6"/>
  <c r="N58" i="6"/>
  <c r="M58" i="6"/>
  <c r="L58" i="6"/>
  <c r="O54" i="6"/>
  <c r="N54" i="6"/>
  <c r="M54" i="6"/>
  <c r="L54" i="6"/>
  <c r="O50" i="6"/>
  <c r="N50" i="6"/>
  <c r="M50" i="6"/>
  <c r="L50" i="6"/>
  <c r="L46" i="6"/>
  <c r="O46" i="6"/>
  <c r="N46" i="6"/>
  <c r="M46" i="6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28" i="9"/>
  <c r="M24" i="7"/>
  <c r="M20" i="9"/>
  <c r="M24" i="9"/>
  <c r="M44" i="9"/>
  <c r="M18" i="10"/>
  <c r="M22" i="10"/>
  <c r="M26" i="10"/>
  <c r="M30" i="10"/>
  <c r="M34" i="10"/>
  <c r="M38" i="10"/>
  <c r="M32" i="9"/>
  <c r="M36" i="9"/>
  <c r="M40" i="9"/>
  <c r="M16" i="7"/>
  <c r="M20" i="7"/>
  <c r="M32" i="7"/>
  <c r="M36" i="7"/>
  <c r="M28" i="7"/>
  <c r="K14" i="6"/>
  <c r="M14" i="6"/>
  <c r="P46" i="4"/>
  <c r="P54" i="4"/>
  <c r="P59" i="4"/>
  <c r="L81" i="5"/>
  <c r="I17" i="2" s="1"/>
  <c r="P15" i="4"/>
  <c r="P20" i="4"/>
  <c r="P23" i="4"/>
  <c r="P27" i="4"/>
  <c r="P28" i="4"/>
  <c r="P31" i="4"/>
  <c r="P35" i="4"/>
  <c r="P36" i="4"/>
  <c r="P39" i="4"/>
  <c r="P17" i="5"/>
  <c r="P18" i="5"/>
  <c r="P21" i="5"/>
  <c r="P22" i="5"/>
  <c r="P26" i="5"/>
  <c r="P29" i="5"/>
  <c r="P30" i="5"/>
  <c r="P33" i="5"/>
  <c r="P34" i="5"/>
  <c r="P38" i="5"/>
  <c r="P41" i="5"/>
  <c r="P42" i="5"/>
  <c r="P45" i="5"/>
  <c r="P46" i="5"/>
  <c r="P49" i="5"/>
  <c r="P50" i="5"/>
  <c r="P53" i="5"/>
  <c r="P54" i="5"/>
  <c r="P58" i="5"/>
  <c r="P61" i="5"/>
  <c r="P62" i="5"/>
  <c r="P65" i="5"/>
  <c r="P66" i="5"/>
  <c r="P69" i="5"/>
  <c r="P70" i="5"/>
  <c r="P73" i="5"/>
  <c r="P74" i="5"/>
  <c r="P77" i="5"/>
  <c r="P78" i="5"/>
  <c r="P44" i="4"/>
  <c r="P42" i="4"/>
  <c r="P47" i="4"/>
  <c r="P55" i="4"/>
  <c r="P56" i="4"/>
  <c r="P26" i="9"/>
  <c r="P18" i="9"/>
  <c r="P38" i="7"/>
  <c r="O14" i="7"/>
  <c r="M15" i="5"/>
  <c r="P15" i="5" s="1"/>
  <c r="M19" i="5"/>
  <c r="P19" i="5" s="1"/>
  <c r="M23" i="5"/>
  <c r="P23" i="5" s="1"/>
  <c r="M27" i="5"/>
  <c r="P27" i="5" s="1"/>
  <c r="M31" i="5"/>
  <c r="P31" i="5" s="1"/>
  <c r="M35" i="5"/>
  <c r="P35" i="5" s="1"/>
  <c r="M39" i="5"/>
  <c r="P39" i="5" s="1"/>
  <c r="M43" i="5"/>
  <c r="P43" i="5" s="1"/>
  <c r="M47" i="5"/>
  <c r="P47" i="5" s="1"/>
  <c r="M51" i="5"/>
  <c r="P51" i="5" s="1"/>
  <c r="M55" i="5"/>
  <c r="P55" i="5" s="1"/>
  <c r="M59" i="5"/>
  <c r="P59" i="5" s="1"/>
  <c r="M63" i="5"/>
  <c r="P63" i="5" s="1"/>
  <c r="M67" i="5"/>
  <c r="P67" i="5" s="1"/>
  <c r="M71" i="5"/>
  <c r="P71" i="5" s="1"/>
  <c r="M75" i="5"/>
  <c r="P75" i="5" s="1"/>
  <c r="M79" i="5"/>
  <c r="P79" i="5" s="1"/>
  <c r="K14" i="10"/>
  <c r="K18" i="10"/>
  <c r="K22" i="10"/>
  <c r="K26" i="10"/>
  <c r="K30" i="10"/>
  <c r="K34" i="10"/>
  <c r="K38" i="10"/>
  <c r="M16" i="9"/>
  <c r="K16" i="9"/>
  <c r="K32" i="9"/>
  <c r="K48" i="9"/>
  <c r="M27" i="9"/>
  <c r="M43" i="9"/>
  <c r="M23" i="9"/>
  <c r="P23" i="9" s="1"/>
  <c r="K24" i="9"/>
  <c r="M39" i="9"/>
  <c r="K40" i="9"/>
  <c r="K22" i="7"/>
  <c r="M22" i="7"/>
  <c r="P22" i="7" s="1"/>
  <c r="M20" i="8"/>
  <c r="P20" i="8" s="1"/>
  <c r="K20" i="8"/>
  <c r="M28" i="8"/>
  <c r="P28" i="8" s="1"/>
  <c r="K28" i="8"/>
  <c r="K19" i="7"/>
  <c r="K39" i="7"/>
  <c r="M15" i="8"/>
  <c r="P15" i="8" s="1"/>
  <c r="M23" i="8"/>
  <c r="P23" i="8" s="1"/>
  <c r="K14" i="7"/>
  <c r="M14" i="7"/>
  <c r="M15" i="7"/>
  <c r="P15" i="7" s="1"/>
  <c r="K15" i="7"/>
  <c r="K26" i="7"/>
  <c r="M26" i="7"/>
  <c r="P26" i="7" s="1"/>
  <c r="M27" i="7"/>
  <c r="P27" i="7" s="1"/>
  <c r="K27" i="7"/>
  <c r="P35" i="7"/>
  <c r="M15" i="6"/>
  <c r="P15" i="6" s="1"/>
  <c r="K15" i="6"/>
  <c r="M31" i="6"/>
  <c r="P31" i="6" s="1"/>
  <c r="K31" i="6"/>
  <c r="M47" i="6"/>
  <c r="P47" i="6" s="1"/>
  <c r="K47" i="6"/>
  <c r="M63" i="6"/>
  <c r="P63" i="6" s="1"/>
  <c r="K63" i="6"/>
  <c r="P14" i="6"/>
  <c r="M19" i="6"/>
  <c r="P19" i="6" s="1"/>
  <c r="K19" i="6"/>
  <c r="M35" i="6"/>
  <c r="P35" i="6" s="1"/>
  <c r="K35" i="6"/>
  <c r="M51" i="6"/>
  <c r="P51" i="6" s="1"/>
  <c r="K51" i="6"/>
  <c r="M23" i="6"/>
  <c r="P23" i="6" s="1"/>
  <c r="K23" i="6"/>
  <c r="M39" i="6"/>
  <c r="P39" i="6" s="1"/>
  <c r="K39" i="6"/>
  <c r="M55" i="6"/>
  <c r="P55" i="6" s="1"/>
  <c r="K55" i="6"/>
  <c r="M27" i="6"/>
  <c r="P27" i="6" s="1"/>
  <c r="K27" i="6"/>
  <c r="M43" i="6"/>
  <c r="P43" i="6" s="1"/>
  <c r="K43" i="6"/>
  <c r="M59" i="6"/>
  <c r="P59" i="6" s="1"/>
  <c r="K59" i="6"/>
  <c r="N61" i="4"/>
  <c r="G16" i="2" s="1"/>
  <c r="K19" i="4"/>
  <c r="K23" i="4"/>
  <c r="K27" i="4"/>
  <c r="K31" i="4"/>
  <c r="K55" i="4"/>
  <c r="K59" i="4"/>
  <c r="K15" i="4"/>
  <c r="K35" i="4"/>
  <c r="K39" i="4"/>
  <c r="K43" i="4"/>
  <c r="K47" i="4"/>
  <c r="K51" i="4"/>
  <c r="L61" i="4"/>
  <c r="I16" i="2" s="1"/>
  <c r="P42" i="9" l="1"/>
  <c r="P27" i="9"/>
  <c r="P18" i="7"/>
  <c r="P23" i="7"/>
  <c r="P30" i="7"/>
  <c r="P14" i="10"/>
  <c r="P15" i="9"/>
  <c r="P16" i="9"/>
  <c r="P38" i="9"/>
  <c r="P25" i="4"/>
  <c r="P45" i="4"/>
  <c r="P58" i="4"/>
  <c r="K31" i="7"/>
  <c r="O31" i="7"/>
  <c r="O21" i="10"/>
  <c r="M21" i="10"/>
  <c r="P21" i="6"/>
  <c r="P25" i="6"/>
  <c r="P39" i="7"/>
  <c r="K62" i="6"/>
  <c r="O62" i="6"/>
  <c r="K34" i="6"/>
  <c r="O34" i="6"/>
  <c r="K38" i="6"/>
  <c r="O38" i="6"/>
  <c r="P24" i="6"/>
  <c r="O24" i="4"/>
  <c r="P24" i="4" s="1"/>
  <c r="K24" i="4"/>
  <c r="O20" i="10"/>
  <c r="P20" i="10" s="1"/>
  <c r="K20" i="10"/>
  <c r="P31" i="7"/>
  <c r="O14" i="8"/>
  <c r="P14" i="8" s="1"/>
  <c r="P47" i="9"/>
  <c r="M17" i="10"/>
  <c r="P27" i="8"/>
  <c r="P19" i="7"/>
  <c r="K25" i="8"/>
  <c r="O25" i="8"/>
  <c r="K17" i="8"/>
  <c r="O17" i="8"/>
  <c r="P17" i="8" s="1"/>
  <c r="P28" i="6"/>
  <c r="P25" i="8"/>
  <c r="P36" i="9"/>
  <c r="P44" i="9"/>
  <c r="O16" i="6"/>
  <c r="P16" i="6" s="1"/>
  <c r="N65" i="6"/>
  <c r="G18" i="2" s="1"/>
  <c r="K29" i="9"/>
  <c r="O29" i="9"/>
  <c r="P29" i="9" s="1"/>
  <c r="O28" i="10"/>
  <c r="P28" i="10" s="1"/>
  <c r="O37" i="10"/>
  <c r="P37" i="10" s="1"/>
  <c r="K44" i="4"/>
  <c r="L65" i="6"/>
  <c r="I18" i="2" s="1"/>
  <c r="P20" i="9"/>
  <c r="P17" i="9"/>
  <c r="P16" i="10"/>
  <c r="P25" i="9"/>
  <c r="P25" i="10"/>
  <c r="P29" i="10"/>
  <c r="K45" i="6"/>
  <c r="O45" i="6"/>
  <c r="P45" i="6" s="1"/>
  <c r="K29" i="10"/>
  <c r="P33" i="7"/>
  <c r="P37" i="7"/>
  <c r="P31" i="10"/>
  <c r="P15" i="10"/>
  <c r="K37" i="6"/>
  <c r="O37" i="6"/>
  <c r="P37" i="6" s="1"/>
  <c r="P26" i="6"/>
  <c r="P32" i="7"/>
  <c r="P58" i="6"/>
  <c r="O16" i="8"/>
  <c r="P16" i="8" s="1"/>
  <c r="K16" i="8"/>
  <c r="K61" i="6"/>
  <c r="O61" i="6"/>
  <c r="P61" i="6" s="1"/>
  <c r="K31" i="9"/>
  <c r="O31" i="9"/>
  <c r="P31" i="9" s="1"/>
  <c r="K33" i="10"/>
  <c r="O33" i="10"/>
  <c r="P33" i="10" s="1"/>
  <c r="K43" i="9"/>
  <c r="O43" i="9"/>
  <c r="P43" i="9" s="1"/>
  <c r="O51" i="9"/>
  <c r="P51" i="9" s="1"/>
  <c r="K36" i="10"/>
  <c r="P24" i="9"/>
  <c r="P32" i="9"/>
  <c r="P34" i="6"/>
  <c r="P42" i="6"/>
  <c r="P46" i="6"/>
  <c r="P30" i="6"/>
  <c r="O35" i="9"/>
  <c r="P35" i="9" s="1"/>
  <c r="P19" i="9"/>
  <c r="P19" i="10"/>
  <c r="P35" i="10"/>
  <c r="K39" i="9"/>
  <c r="O39" i="9"/>
  <c r="P39" i="9" s="1"/>
  <c r="K41" i="6"/>
  <c r="O41" i="6"/>
  <c r="P41" i="6" s="1"/>
  <c r="K29" i="6"/>
  <c r="O29" i="6"/>
  <c r="P29" i="6" s="1"/>
  <c r="K53" i="6"/>
  <c r="O53" i="6"/>
  <c r="P53" i="6" s="1"/>
  <c r="K34" i="5"/>
  <c r="K31" i="5"/>
  <c r="K45" i="4"/>
  <c r="K28" i="4"/>
  <c r="O57" i="6"/>
  <c r="P57" i="6" s="1"/>
  <c r="P19" i="8"/>
  <c r="K26" i="4"/>
  <c r="K49" i="4"/>
  <c r="K50" i="4"/>
  <c r="K58" i="4"/>
  <c r="K78" i="5"/>
  <c r="K75" i="5"/>
  <c r="K66" i="5"/>
  <c r="K63" i="5"/>
  <c r="K26" i="5"/>
  <c r="K23" i="5"/>
  <c r="P24" i="7"/>
  <c r="P18" i="6"/>
  <c r="P50" i="6"/>
  <c r="P62" i="6"/>
  <c r="N40" i="7"/>
  <c r="G19" i="2" s="1"/>
  <c r="L40" i="7"/>
  <c r="I19" i="2" s="1"/>
  <c r="N29" i="8"/>
  <c r="G20" i="2" s="1"/>
  <c r="P28" i="9"/>
  <c r="L52" i="9"/>
  <c r="I21" i="2" s="1"/>
  <c r="P17" i="7"/>
  <c r="P21" i="7"/>
  <c r="P39" i="10"/>
  <c r="P23" i="10"/>
  <c r="L41" i="10"/>
  <c r="I22" i="2" s="1"/>
  <c r="P14" i="9"/>
  <c r="P20" i="6"/>
  <c r="P49" i="6"/>
  <c r="K18" i="9"/>
  <c r="K38" i="7"/>
  <c r="K46" i="5"/>
  <c r="K43" i="5"/>
  <c r="K70" i="5"/>
  <c r="K67" i="5"/>
  <c r="K58" i="5"/>
  <c r="K55" i="5"/>
  <c r="P33" i="6"/>
  <c r="P17" i="6"/>
  <c r="K49" i="6"/>
  <c r="K33" i="6"/>
  <c r="K38" i="9"/>
  <c r="K22" i="5"/>
  <c r="K19" i="5"/>
  <c r="K18" i="4"/>
  <c r="K17" i="4"/>
  <c r="K34" i="4"/>
  <c r="K74" i="5"/>
  <c r="K71" i="5"/>
  <c r="K42" i="5"/>
  <c r="K39" i="5"/>
  <c r="O60" i="4"/>
  <c r="P60" i="4" s="1"/>
  <c r="K60" i="4"/>
  <c r="K42" i="4"/>
  <c r="K33" i="4"/>
  <c r="K22" i="4"/>
  <c r="K46" i="4"/>
  <c r="K53" i="4"/>
  <c r="O21" i="8"/>
  <c r="K30" i="7"/>
  <c r="K38" i="5"/>
  <c r="K35" i="5"/>
  <c r="K29" i="4"/>
  <c r="K38" i="4"/>
  <c r="K79" i="5"/>
  <c r="K50" i="5"/>
  <c r="K47" i="5"/>
  <c r="K18" i="5"/>
  <c r="K15" i="5"/>
  <c r="K54" i="4"/>
  <c r="K37" i="4"/>
  <c r="K62" i="5"/>
  <c r="K59" i="5"/>
  <c r="K30" i="5"/>
  <c r="K27" i="5"/>
  <c r="N52" i="9"/>
  <c r="G21" i="2" s="1"/>
  <c r="P36" i="7"/>
  <c r="P24" i="10"/>
  <c r="K34" i="9"/>
  <c r="K26" i="9"/>
  <c r="K54" i="5"/>
  <c r="K51" i="5"/>
  <c r="K52" i="4"/>
  <c r="O52" i="4"/>
  <c r="P52" i="4" s="1"/>
  <c r="K41" i="4"/>
  <c r="K30" i="4"/>
  <c r="K21" i="4"/>
  <c r="K25" i="4"/>
  <c r="O50" i="9"/>
  <c r="P50" i="9" s="1"/>
  <c r="K50" i="9"/>
  <c r="O30" i="9"/>
  <c r="K30" i="9"/>
  <c r="O48" i="4"/>
  <c r="P48" i="4" s="1"/>
  <c r="K48" i="4"/>
  <c r="O40" i="4"/>
  <c r="K40" i="4"/>
  <c r="P49" i="9"/>
  <c r="P33" i="9"/>
  <c r="P21" i="9"/>
  <c r="K14" i="5"/>
  <c r="N41" i="10"/>
  <c r="G22" i="2" s="1"/>
  <c r="P29" i="7"/>
  <c r="P37" i="9"/>
  <c r="P27" i="10"/>
  <c r="L29" i="8"/>
  <c r="I20" i="2" s="1"/>
  <c r="P48" i="9"/>
  <c r="P25" i="7"/>
  <c r="P41" i="9"/>
  <c r="P16" i="7"/>
  <c r="P30" i="10"/>
  <c r="P38" i="10"/>
  <c r="P22" i="10"/>
  <c r="P40" i="9"/>
  <c r="P34" i="10"/>
  <c r="P18" i="10"/>
  <c r="P20" i="7"/>
  <c r="P26" i="10"/>
  <c r="P18" i="8"/>
  <c r="P22" i="8"/>
  <c r="P38" i="6"/>
  <c r="P54" i="6"/>
  <c r="P26" i="8"/>
  <c r="P22" i="6"/>
  <c r="P28" i="7"/>
  <c r="M40" i="7"/>
  <c r="F19" i="2" s="1"/>
  <c r="P14" i="7"/>
  <c r="M52" i="9"/>
  <c r="F21" i="2" s="1"/>
  <c r="M65" i="6"/>
  <c r="F18" i="2" s="1"/>
  <c r="M81" i="5"/>
  <c r="F17" i="2" s="1"/>
  <c r="M29" i="8"/>
  <c r="F20" i="2" s="1"/>
  <c r="M61" i="4"/>
  <c r="F16" i="2" s="1"/>
  <c r="M41" i="10" l="1"/>
  <c r="F22" i="2" s="1"/>
  <c r="P21" i="10"/>
  <c r="K21" i="10"/>
  <c r="K14" i="8"/>
  <c r="O17" i="10"/>
  <c r="P17" i="10" s="1"/>
  <c r="K17" i="10"/>
  <c r="K37" i="10"/>
  <c r="O40" i="7"/>
  <c r="H19" i="2" s="1"/>
  <c r="P40" i="4"/>
  <c r="P61" i="4" s="1"/>
  <c r="E16" i="2" s="1"/>
  <c r="O61" i="4"/>
  <c r="H16" i="2" s="1"/>
  <c r="O41" i="10"/>
  <c r="H22" i="2" s="1"/>
  <c r="P41" i="10"/>
  <c r="E22" i="2" s="1"/>
  <c r="P30" i="9"/>
  <c r="O29" i="8"/>
  <c r="H20" i="2" s="1"/>
  <c r="P21" i="8"/>
  <c r="P29" i="8" s="1"/>
  <c r="N9" i="8" s="1"/>
  <c r="O65" i="6"/>
  <c r="H18" i="2" s="1"/>
  <c r="O81" i="5"/>
  <c r="H17" i="2" s="1"/>
  <c r="P81" i="5"/>
  <c r="E17" i="2" s="1"/>
  <c r="P40" i="7"/>
  <c r="E19" i="2" s="1"/>
  <c r="P65" i="6"/>
  <c r="N9" i="6" s="1"/>
  <c r="B16" i="2" l="1"/>
  <c r="B17" i="2"/>
  <c r="B22" i="2"/>
  <c r="D1" i="10"/>
  <c r="B19" i="2"/>
  <c r="N9" i="4"/>
  <c r="O52" i="9"/>
  <c r="H21" i="2" s="1"/>
  <c r="P52" i="9"/>
  <c r="N9" i="9" s="1"/>
  <c r="E18" i="2"/>
  <c r="N9" i="5"/>
  <c r="N9" i="10"/>
  <c r="N9" i="7"/>
  <c r="E20" i="2"/>
  <c r="B18" i="2" l="1"/>
  <c r="B20" i="2"/>
  <c r="D1" i="8"/>
  <c r="E21" i="2"/>
  <c r="B21" i="2" l="1"/>
  <c r="D1" i="9"/>
  <c r="H14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15" i="3" l="1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14" i="3"/>
  <c r="P14" i="3" s="1"/>
  <c r="M18" i="3"/>
  <c r="M22" i="3"/>
  <c r="M26" i="3"/>
  <c r="P26" i="3" s="1"/>
  <c r="P16" i="3"/>
  <c r="L30" i="3"/>
  <c r="M15" i="3"/>
  <c r="M19" i="3"/>
  <c r="M23" i="3"/>
  <c r="M27" i="3"/>
  <c r="N30" i="3"/>
  <c r="P18" i="3" l="1"/>
  <c r="P21" i="3"/>
  <c r="P22" i="3"/>
  <c r="P28" i="3"/>
  <c r="P25" i="3"/>
  <c r="P20" i="3"/>
  <c r="P17" i="3"/>
  <c r="K20" i="3"/>
  <c r="P29" i="3"/>
  <c r="P24" i="3"/>
  <c r="K28" i="3"/>
  <c r="K17" i="3"/>
  <c r="K25" i="3"/>
  <c r="P15" i="3"/>
  <c r="P23" i="3"/>
  <c r="K29" i="3"/>
  <c r="P27" i="3"/>
  <c r="P19" i="3"/>
  <c r="G15" i="2"/>
  <c r="K21" i="3"/>
  <c r="K16" i="3"/>
  <c r="K24" i="3"/>
  <c r="K27" i="3"/>
  <c r="K23" i="3"/>
  <c r="K19" i="3"/>
  <c r="K15" i="3"/>
  <c r="K26" i="3"/>
  <c r="K22" i="3"/>
  <c r="K18" i="3"/>
  <c r="K14" i="3"/>
  <c r="I15" i="2"/>
  <c r="M30" i="3"/>
  <c r="P30" i="3" l="1"/>
  <c r="O30" i="3"/>
  <c r="F15" i="2"/>
  <c r="H15" i="2" l="1"/>
  <c r="N9" i="3"/>
  <c r="E15" i="2"/>
  <c r="B15" i="2" l="1"/>
  <c r="I23" i="2"/>
  <c r="H23" i="2"/>
  <c r="G23" i="2"/>
  <c r="F23" i="2"/>
  <c r="E23" i="2"/>
  <c r="E26" i="2" s="1"/>
  <c r="D11" i="2" l="1"/>
  <c r="E24" i="2"/>
  <c r="E25" i="2" s="1"/>
  <c r="E27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<sst xmlns="http://schemas.openxmlformats.org/spreadsheetml/2006/main" count="1049" uniqueCount="348">
  <si>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</si>
  <si>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</si>
  <si>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</si>
  <si>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</si>
  <si>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</si>
  <si>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</si>
  <si>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</si>
  <si>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</si>
  <si>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</si>
  <si>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</si>
  <si>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</si>
  <si>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</si>
  <si>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</si>
  <si>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</si>
  <si>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</si>
  <si>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</si>
  <si>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</si>
  <si>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</si>
  <si>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</si>
  <si>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</si>
  <si>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</si>
  <si>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</si>
  <si>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</si>
  <si>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</si>
  <si>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</si>
  <si>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</si>
  <si>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</si>
  <si>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</si>
  <si>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</si>
  <si>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</si>
  <si>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</si>
  <si>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</si>
  <si>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</si>
  <si>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</si>
  <si>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</si>
  <si>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</si>
  <si>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</si>
  <si>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</si>
  <si>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</si>
  <si>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</si>
  <si>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</si>
  <si>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</si>
  <si>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</si>
  <si>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</si>
  <si>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</si>
  <si>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</si>
  <si>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</si>
  <si>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</si>
  <si>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</si>
  <si>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</si>
  <si>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</si>
  <si>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</si>
  <si>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</si>
  <si>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</si>
  <si>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</si>
  <si>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 xml:space="preserve"> Dzīvojamā māja</t>
  </si>
  <si>
    <t xml:space="preserve">Energoefektivitātes paaugstināšanas projekts dzīvojamai mājai </t>
  </si>
  <si>
    <t>Kristapa Helmaņa iela 5, Jelgava, LV-3004, KAD.NR.09000270201001</t>
  </si>
  <si>
    <t>Būvlaukuma sagatavošanas darbi</t>
  </si>
  <si>
    <t>Tāme sastādīta  2021. gada tirgus cenās, pamatojoties uz AR daļas rasējumiem</t>
  </si>
  <si>
    <t>Būvlaukuma sagatavošana</t>
  </si>
  <si>
    <t>03-00000</t>
  </si>
  <si>
    <t>Inventārā žoga montāža-demontāža, vārtu izveidošana</t>
  </si>
  <si>
    <t>m</t>
  </si>
  <si>
    <t>Žoga nomas izmaksas</t>
  </si>
  <si>
    <t>Sadzīves telpu piegāde un pieslēgums komunikācijām, aizvesšana pēc būvdarbu veikšanas</t>
  </si>
  <si>
    <t>k-ts</t>
  </si>
  <si>
    <t>Strādnieku vagoniņa nomas izmaksas</t>
  </si>
  <si>
    <t>Noliktava konteinera nomas izmaksas</t>
  </si>
  <si>
    <t>Sarga konteinera nomas izmaksas</t>
  </si>
  <si>
    <t>WC apkalpošana un noma</t>
  </si>
  <si>
    <t>Pagaidu nojumes pie ieejām izgatavotas no koka un finiera.</t>
  </si>
  <si>
    <t>k-ti</t>
  </si>
  <si>
    <t>Būvlaukuma apsardze</t>
  </si>
  <si>
    <t>Būvtāfele un tās uzstādīšana</t>
  </si>
  <si>
    <t>Ugunsdzēsēju stends, tā uzstādīšana</t>
  </si>
  <si>
    <t>gab.</t>
  </si>
  <si>
    <t>Pagaidu pieslēgums - elektroapgādei un ūdensapgādei</t>
  </si>
  <si>
    <t>obj.</t>
  </si>
  <si>
    <t>Apgaismes mastu ierīkošana un noņemšana</t>
  </si>
  <si>
    <t>Apgaismes mastu noma</t>
  </si>
  <si>
    <t xml:space="preserve">Būvgružu savākšana un izvesšana </t>
  </si>
  <si>
    <t>1</t>
  </si>
  <si>
    <t>21-00000</t>
  </si>
  <si>
    <t xml:space="preserve">Skursteņu  krāsojums </t>
  </si>
  <si>
    <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</si>
  <si>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Gunts krāsa Sadolin Sando Base vai ekvivalents</t>
  </si>
  <si>
    <t>kg</t>
  </si>
  <si>
    <t>Krāsa Sadolin Sando F vai ekvivalents</t>
  </si>
  <si>
    <t>2</t>
  </si>
  <si>
    <t>09-00000</t>
  </si>
  <si>
    <t>Skursteņu jumtiņu krāsošana</t>
  </si>
  <si>
    <t>m2</t>
  </si>
  <si>
    <t>3</t>
  </si>
  <si>
    <t>09-00001</t>
  </si>
  <si>
    <t>Rotējošā jumta diflektora D=150 ierīkošana</t>
  </si>
  <si>
    <t>4</t>
  </si>
  <si>
    <t>Skārda elemetu ierīkošana</t>
  </si>
  <si>
    <t>Karnīzes elements gala sienām</t>
  </si>
  <si>
    <t>Karnīzes elements ēkas priekšpusēm</t>
  </si>
  <si>
    <t>Karnīzes cepures ēkas priekšpusēm</t>
  </si>
  <si>
    <t>Palīgmateriāli</t>
  </si>
  <si>
    <t>kompl.</t>
  </si>
  <si>
    <t>5</t>
  </si>
  <si>
    <t>Jumta lūkas uzstādīšana 780x830</t>
  </si>
  <si>
    <t>gab</t>
  </si>
  <si>
    <t>6</t>
  </si>
  <si>
    <t>Koka karkasa grīdai ierīkošana</t>
  </si>
  <si>
    <t>Kokmateriāls</t>
  </si>
  <si>
    <t>m3</t>
  </si>
  <si>
    <t>Ruberoīds RKPO-350 vai ekvivalents</t>
  </si>
  <si>
    <t>Metāla leņķi</t>
  </si>
  <si>
    <t>7</t>
  </si>
  <si>
    <t>13-00000</t>
  </si>
  <si>
    <t>Bēniņu pārseguma siltināšana Termovate 250 mm λ≤0,0311 W/m²K vai ekvivalents</t>
  </si>
  <si>
    <t>Termovate 250 mm λ≤0,0311 W/m²K vai ekvivalents</t>
  </si>
  <si>
    <t>8</t>
  </si>
  <si>
    <t>08-00000</t>
  </si>
  <si>
    <t>Karkasa apšūšanas darbi</t>
  </si>
  <si>
    <t>Magnezīta loksnes 1200/2300/10mm vai ekvivalents</t>
  </si>
  <si>
    <t xml:space="preserve">Skrūves </t>
  </si>
  <si>
    <t xml:space="preserve"> PLAKANĀ JUMTA REMONTS VIRS IEEJĀM UN LODŽIJĀM</t>
  </si>
  <si>
    <t>02-00000</t>
  </si>
  <si>
    <t>Jumta seguma attīrīšana</t>
  </si>
  <si>
    <t>Betona jumta tīrīšana, rūpīga piesūcināšana virsmas ar ūdeni</t>
  </si>
  <si>
    <t>Betona jumta laukuma un griestu apstrāde ar Skrepa M600 sauso injekciju maisījumu (Penetron)</t>
  </si>
  <si>
    <t>Skrepa M600 vai ekvivalents</t>
  </si>
  <si>
    <t>Betona jumta laukuma apstrāde ar dziļi impregnējamo hidroizolācijas materiālu Penetron</t>
  </si>
  <si>
    <t>Penetron vai ekvivalents</t>
  </si>
  <si>
    <t>Griestu krāsošana</t>
  </si>
  <si>
    <t>Siltumizloācijas ieklāšana jumtam virs lodzijām</t>
  </si>
  <si>
    <t>Akmens vates  Rockwool Monrock PRO 200 vai ekvivalents λ≤0,037W/mK 200mm</t>
  </si>
  <si>
    <t>Dībeļi vates stiprināšanai</t>
  </si>
  <si>
    <t>Jumta mīkstā seguma ieklāšana</t>
  </si>
  <si>
    <t>Apakšklājs &gt; 3,00 kg/m2 Bikroelast EPP vai ekvivalents</t>
  </si>
  <si>
    <t>Virsklājs &gt; 4,00 kg/m2 Bikroelast EKP vai ekvivalents</t>
  </si>
  <si>
    <t>Gāze</t>
  </si>
  <si>
    <t>Pieslēgums pie sienas</t>
  </si>
  <si>
    <t>tek.m</t>
  </si>
  <si>
    <t>9</t>
  </si>
  <si>
    <t>Vējamala</t>
  </si>
  <si>
    <t xml:space="preserve">m </t>
  </si>
  <si>
    <t>10</t>
  </si>
  <si>
    <t>Lietus ūdens novadsistēmas uzstādīšana</t>
  </si>
  <si>
    <t>Teknes BORGA vai ekvivalents 100mm</t>
  </si>
  <si>
    <t>Notekrenes, teknes BORGA vai ekvivalents 100mm</t>
  </si>
  <si>
    <t>Palīgmateriāli(tenes likumi,teknes āķi,piltuves, notekas līkumi, notekas stiprinājumi)</t>
  </si>
  <si>
    <t>Jumta remonts un bēniņu siltināšana</t>
  </si>
  <si>
    <t>Tāme sastādīta  2021. gada tirgus cenās, pamatojoties uzAR daļas rasējumiem</t>
  </si>
  <si>
    <t>Fasādes siltināšana un apdare</t>
  </si>
  <si>
    <t>Fasādes siltināsana un apdare</t>
  </si>
  <si>
    <t>Esošā aprīkojuma demontāža no fasādes un montāža pēc rekonstrukcijas darbu pabeigšanas (numura zīme, karoga turētājs, gaismekļi, sarunu iekārtas, kodatslēgas u.c.)</t>
  </si>
  <si>
    <t>Skārda palodžu demontāža</t>
  </si>
  <si>
    <t>Fasādes sastatņu montāža-demontāža ar aizsargsietu</t>
  </si>
  <si>
    <t>03-00001</t>
  </si>
  <si>
    <t>Fasades sastatnes</t>
  </si>
  <si>
    <t>03-00002</t>
  </si>
  <si>
    <t>Fasades sastatnes aizsargsiets</t>
  </si>
  <si>
    <t>Metāla apšuvuma starp logiem demontāža</t>
  </si>
  <si>
    <t>Koka karkasa ar siltinājumu ierīkošana</t>
  </si>
  <si>
    <r>
      <t>m</t>
    </r>
    <r>
      <rPr>
        <vertAlign val="superscript"/>
        <sz val="10"/>
        <color indexed="8"/>
        <rFont val="Times New Roman"/>
        <family val="1"/>
      </rPr>
      <t>2</t>
    </r>
  </si>
  <si>
    <t>Magnezīta loksnes 1200/2300/6mm vai ekvivalents</t>
  </si>
  <si>
    <t>Skrūves SPEC13 4,5x50 Zn</t>
  </si>
  <si>
    <t>Šuves attīrīšana un sagatavošana, mazgāšana ar augstspiediena mazgātāju</t>
  </si>
  <si>
    <t>Šuvju gruntēšana un aizpildīšana ar poliuretāna mastiku</t>
  </si>
  <si>
    <t>Microsealer-50 (0,2kg/m2) vai ekvivalents</t>
  </si>
  <si>
    <t>hermētiķis Hyperseal 25 LM-S white (600 ml) vai ekvivalents</t>
  </si>
  <si>
    <t>Esošās fasādes virsmas attīrīšana un gruntēša</t>
  </si>
  <si>
    <t>Zemapmetuma grunts SAKRET PG vai ekvivalents</t>
  </si>
  <si>
    <t>Fasādes vates iestrāde</t>
  </si>
  <si>
    <t>ISOVER FS30 minerālvate vai ekvivalents  λ≤0,037W/mK b=200mm</t>
  </si>
  <si>
    <t>Līmjava SAKRET BAK vai ekvivalents</t>
  </si>
  <si>
    <t xml:space="preserve">Dībeļi wkret-met 10x260mm vai ekvivalents </t>
  </si>
  <si>
    <t>gb</t>
  </si>
  <si>
    <t>Cokola profils 200mm</t>
  </si>
  <si>
    <t>Uprofils 200mm</t>
  </si>
  <si>
    <t>Fasādes apdare ar sietu iestrādātu līmjavas kārtā</t>
  </si>
  <si>
    <t>Siets dzeltens, 160g vai ekvivalents</t>
  </si>
  <si>
    <t xml:space="preserve">Stūra profils ar sieta pagarinājumu </t>
  </si>
  <si>
    <t>Fasādes dekoratīvais apmetums</t>
  </si>
  <si>
    <t>Zemapmetuma grunts SAKRET PG</t>
  </si>
  <si>
    <t>Apmetums SAKRET SBP</t>
  </si>
  <si>
    <t>Fasādes dekoratīvais krāsojums atbilstoši krāsu pasei</t>
  </si>
  <si>
    <t>Krāsa tonēta Sadolin Sando F vai ekvivalents</t>
  </si>
  <si>
    <t>Ailu sānu malu apdare ar siltumizolācijas materiālu, pieslēguma logu un durvju blokam hermetizācija</t>
  </si>
  <si>
    <t>ISOVER FS30 minerālvate vai ekvivalents  λ≤0,037W/mK b=30mm</t>
  </si>
  <si>
    <r>
      <t>m</t>
    </r>
    <r>
      <rPr>
        <vertAlign val="superscript"/>
        <sz val="10"/>
        <rFont val="Times New Roman"/>
        <family val="1"/>
        <charset val="186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</si>
  <si>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 xml:space="preserve">Dībeļi wkret-met 10x70mm vai ekvivalents </t>
  </si>
  <si>
    <t>Ailu sānu malu apdare ar sietu iestrādātu līmjavas kārtā</t>
  </si>
  <si>
    <t>Ailu sānu malu dekoratīvais apmetums</t>
  </si>
  <si>
    <t>Ailu sānu malu dekoratīvais krāsojums atbilstoši krāsu pasei</t>
  </si>
  <si>
    <t xml:space="preserve">Vates iestrāde pārseguma pārkarei </t>
  </si>
  <si>
    <t>Pārkares apdare ar sietu iestrādātu līmjavas kārtā</t>
  </si>
  <si>
    <t>Pārkares dekoratīvais apmetums</t>
  </si>
  <si>
    <t>Pārkares dekoratīvais krāsojums atbilstoši krāsu pasei</t>
  </si>
  <si>
    <t>Lāsenis</t>
  </si>
  <si>
    <t>Vertikālās metāla restes izgatavošana ierīkošana (skat. AR-10 lapu)</t>
  </si>
  <si>
    <t>Vetrikālās metāla restes ar slēdzamiem vārtiem ierīkošana (skat. AR-10 lapu)</t>
  </si>
  <si>
    <t>Margu izgatavošana un ierīkošana 2150x900</t>
  </si>
  <si>
    <t>lig.cena</t>
  </si>
  <si>
    <t>Palodžu izgatavošana un montāža krāsots skārds 270mm</t>
  </si>
  <si>
    <t>Cokols</t>
  </si>
  <si>
    <t>Tāme sastādīta  2020. gada tirgus cenās, pamatojoties uz AR daļas rasējumiem</t>
  </si>
  <si>
    <t>Esošās ūdens novadīšanas joslas demontāža</t>
  </si>
  <si>
    <t>Segumu demontāža ap ēku papildus 1.0 m platumā, lai nodrošinātu vietu cokola apdares darbu veikšanai</t>
  </si>
  <si>
    <t>Esošo pamatu atrakšana</t>
  </si>
  <si>
    <r>
      <t>m</t>
    </r>
    <r>
      <rPr>
        <vertAlign val="superscript"/>
        <sz val="10"/>
        <color indexed="8"/>
        <rFont val="Times New Roman"/>
        <family val="1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</si>
  <si>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t>Pamatu un cokola virsmas attīrīšana, bojāto vietu nokalšana</t>
  </si>
  <si>
    <t>Pamatu un cokola virsmas izlīdzināšana ar hidrofobu javu, bojāto vietu remonts</t>
  </si>
  <si>
    <t>Pamatu siltumizolācijas slāņa iestrāde pielīmējot to ar bituma bāzes hidroizolāciju/līmi bez šķīdinātājiem</t>
  </si>
  <si>
    <r>
      <t>m</t>
    </r>
    <r>
      <rPr>
        <vertAlign val="superscript"/>
        <sz val="10"/>
        <rFont val="Times New Roman"/>
        <family val="1"/>
        <charset val="186"/>
      </rPr>
      <t>2</t>
    </r>
  </si>
  <si>
    <t>Putupolistirols Tenapors supra EPS-120 vai ekvivalents λ≤0,041W/mK b=150mm</t>
  </si>
  <si>
    <t>Bituma bāzes hidroizolāciju/līmi bez šķīdinātājiem TechnoNICOL vai ekvivalents</t>
  </si>
  <si>
    <t>Virspamata zonas  sieniņu novilkšana ar līmjavu un sieta iestrāde</t>
  </si>
  <si>
    <t>Cokola  dekoratīvais apmetums</t>
  </si>
  <si>
    <t>Apmetums SAKRET SBP vai ekvivalents</t>
  </si>
  <si>
    <t>Cokola un  krāsojums atbilstoši krāsu pasei</t>
  </si>
  <si>
    <t>Gunts krāsa HANSA SILICAT PRIMIER vai ekvivalents</t>
  </si>
  <si>
    <t>Tonēta cokola krāsa HANSA SOKKEL vai ekvivalents</t>
  </si>
  <si>
    <t>Putupolistirols Tenapors supra EPS-120 vai ekvivalents λ≤0,041W/mK b=30mm</t>
  </si>
  <si>
    <t>Šuve siltinājums-logu bloks (pašbriestošā lenta)</t>
  </si>
  <si>
    <t>Stūra profils ar sieta pagarinājumu</t>
  </si>
  <si>
    <t>Būvbedres aizbēršana veicot blietēšanu pa kārtām un daļēju grunts nomaiņu (50% apjomā)</t>
  </si>
  <si>
    <r>
      <t>m</t>
    </r>
    <r>
      <rPr>
        <vertAlign val="superscript"/>
        <sz val="10"/>
        <color indexed="8"/>
        <rFont val="Times New Roman"/>
        <family val="1"/>
      </rPr>
      <t>3</t>
    </r>
  </si>
  <si>
    <t>Smilts ar piegādi</t>
  </si>
  <si>
    <t>Liekās grunts izvesšana un utilizācija</t>
  </si>
  <si>
    <t>Drenējoša slāņa izveide</t>
  </si>
  <si>
    <t>Rupjas smilts</t>
  </si>
  <si>
    <t>Sagataves kartas uzveide</t>
  </si>
  <si>
    <t>Smilts</t>
  </si>
  <si>
    <t>Šķembas  frakcija 20-40</t>
  </si>
  <si>
    <t>31-00000</t>
  </si>
  <si>
    <t>Borta akmens montāža</t>
  </si>
  <si>
    <t>Brūģešanas darbi</t>
  </si>
  <si>
    <t>Bruģis 198x98x60</t>
  </si>
  <si>
    <t>11-00000</t>
  </si>
  <si>
    <t>Cokola logu šahtu atjaunošana un aizbēršana līdz loga līmenim</t>
  </si>
  <si>
    <t>Melnzemes ierīkošana demontēto podestu vietā</t>
  </si>
  <si>
    <t>Atkritumu podestu demontāža</t>
  </si>
  <si>
    <t>lig.c.</t>
  </si>
  <si>
    <t xml:space="preserve">Betona seguma atjaunošana pie ieejas kāpnēm </t>
  </si>
  <si>
    <t>Esošo lieveņu betona virsmas un pakāpienu attīrīšana un gruntēšana</t>
  </si>
  <si>
    <t>Pašizlīdzinošā sastāva iestrāde lievenī</t>
  </si>
  <si>
    <t xml:space="preserve">Tiešās izmaksas kopā, t. sk. darba devēja sociālais nodoklis 23.59% </t>
  </si>
  <si>
    <t>Durvju un logu bloku montāža</t>
  </si>
  <si>
    <t>Veco logu demontāža un jaunu PVC logu bloku uzstādīšana Uw ≤ 1.1 (W/m2 K)</t>
  </si>
  <si>
    <t>L-1 logu bloks (500x1200)</t>
  </si>
  <si>
    <t>L-2 logu bloks (1400x1700)</t>
  </si>
  <si>
    <t>L-3 logu bloks (1400x1500)</t>
  </si>
  <si>
    <t>L-4 logu bloks (1400x1150)</t>
  </si>
  <si>
    <t>L-5 logu bloks (1400x1200)</t>
  </si>
  <si>
    <t>L-6 logu bloks (1400x6200)</t>
  </si>
  <si>
    <t>L-7 logu bloks (1400x6400)</t>
  </si>
  <si>
    <t>L-8 logu bloks (1400x6500)</t>
  </si>
  <si>
    <t>L-9 logu bloks (1400x3000)</t>
  </si>
  <si>
    <t>Palodzes iekšējās DSP 550mm</t>
  </si>
  <si>
    <t>06-00000</t>
  </si>
  <si>
    <t>Keramzītbloku sienu mūrēšana</t>
  </si>
  <si>
    <t>Fibo keramzītbloki 5MPa 150mm vai ekvivalents</t>
  </si>
  <si>
    <t>Cementa java</t>
  </si>
  <si>
    <t>Gaisa pieplūdes vārsta ierīkošana logu blokos</t>
  </si>
  <si>
    <t>10-00000</t>
  </si>
  <si>
    <t>Ailu apdare pēc AR-17  rasējumiem</t>
  </si>
  <si>
    <t>Veco durvju demontāža un jaunu tērauda un koka durvju bloka uzstādīšana Uw ≤ 1.6 (W/m2 K)</t>
  </si>
  <si>
    <r>
      <t>m</t>
    </r>
    <r>
      <rPr>
        <vertAlign val="superscript"/>
        <sz val="10"/>
        <color indexed="8"/>
        <rFont val="Times New Roman"/>
        <family val="1"/>
      </rPr>
      <t>2</t>
    </r>
    <r>
      <rPr>
        <sz val="11"/>
        <color theme="1"/>
        <rFont val="Calibri"/>
        <family val="2"/>
        <charset val="186"/>
        <scheme val="minor"/>
      </rPr>
      <t/>
    </r>
  </si>
  <si>
    <t>D-1 terauda durvju bloks  (900x1950)</t>
  </si>
  <si>
    <t>D-2 terauda durvju bloks  (1000x2100)</t>
  </si>
  <si>
    <t>D-3 tērauda durvju bloks  (900x2000)</t>
  </si>
  <si>
    <t>Gāzbetona sienu mūrēšana</t>
  </si>
  <si>
    <t>Gāzbetona bloki 150mm AEROC vai ekvivalets</t>
  </si>
  <si>
    <t>Armatūra 8mm</t>
  </si>
  <si>
    <t>Plātņu līme AEROC vai ekvivalents</t>
  </si>
  <si>
    <t>maisi</t>
  </si>
  <si>
    <t>Ailes izkalšana uz sauso atkritumu telpu</t>
  </si>
  <si>
    <t>Pagraba griestu siltinašana</t>
  </si>
  <si>
    <t>Virsmas attīrīšana un gruntēša</t>
  </si>
  <si>
    <t>Dziļumgrunts</t>
  </si>
  <si>
    <t>Vates iestrāde pagraba griestos</t>
  </si>
  <si>
    <t>ISOVER FS30 minerālvate vai ekvivalents  λ≤0,037W/mK b=100mm</t>
  </si>
  <si>
    <t xml:space="preserve">Dībeļi wkret-met 10x160mm vai ekvivalents </t>
  </si>
  <si>
    <t>Apdare ar sietu iestrādātu līmjavas kārtā</t>
  </si>
  <si>
    <t>Dekoratīvais apmetums</t>
  </si>
  <si>
    <t xml:space="preserve">Dekoratīvais krāsojums </t>
  </si>
  <si>
    <t>Kāpņu telpu kosmētiskais remonts</t>
  </si>
  <si>
    <t>Tāme sastādīta  2020. gada tirgus cenās, pamatojoties uz ___ daļas rasējumiem</t>
  </si>
  <si>
    <t>Sausā atkrituma vads</t>
  </si>
  <si>
    <t>Sausā atkrituma vada demontāža</t>
  </si>
  <si>
    <t>05-00000</t>
  </si>
  <si>
    <t>Caurumu aizdare kāpņu telpās pēc sausā atkrituma vada demontāžas</t>
  </si>
  <si>
    <t>OSB plāksnes 22mm</t>
  </si>
  <si>
    <t>Dībeļnaglas 10x100</t>
  </si>
  <si>
    <t>Armatūras siets 8x150x150</t>
  </si>
  <si>
    <t>Betons-klons 40kg SAKRET BE vai ekvivalents</t>
  </si>
  <si>
    <t>Kāpņu apdare</t>
  </si>
  <si>
    <t>Durvju un logu aplīmēšana ar plēvi</t>
  </si>
  <si>
    <t>Plēve</t>
  </si>
  <si>
    <t>Līmlenta</t>
  </si>
  <si>
    <t>Kāpņu nosegšana ar plēvi</t>
  </si>
  <si>
    <t>Griestu sagatavošana krāsošanai</t>
  </si>
  <si>
    <t>Grunts vincents tifgrunt vai ekvivalents</t>
  </si>
  <si>
    <t>l</t>
  </si>
  <si>
    <t>Vetonit LR vai ekvivalents</t>
  </si>
  <si>
    <t>Špakteļķite sheetrock vai ekvivalents</t>
  </si>
  <si>
    <t>Smilšpapīrs</t>
  </si>
  <si>
    <t>Ūdens emulsija balta SADOLIN INNETAK 2 vai ekvivalents</t>
  </si>
  <si>
    <t>Sienu sagatavošana krāsošanai</t>
  </si>
  <si>
    <t>Sienu krāsošana</t>
  </si>
  <si>
    <t>Ūdens emulsija tonēta SADOLIN BINDO 7 vai ekvivalents</t>
  </si>
  <si>
    <t>Kāpņu pakāpienu un laukumu slīpēšana, virsmu izlīdzināšana (Schonox RR un FIN), gruntēšana (epoksīds Peran EPW) noklāšana ar epoksīda bāzes krāsaino pārslu klājumu</t>
  </si>
  <si>
    <t xml:space="preserve"> Ieejas laukuma flīzēšana</t>
  </si>
  <si>
    <t>Grīdas flīzes</t>
  </si>
  <si>
    <t>Flīžu līme SAKRET FK vai ekvivalents</t>
  </si>
  <si>
    <t>Šuvotājs MIRA SUPERCOLOR vai ekvivalents</t>
  </si>
  <si>
    <t xml:space="preserve">Margu attīrīšana no rūsas, gruntēšana, krāsošana </t>
  </si>
  <si>
    <t>Jaunu lenteru ierīkošana PVC</t>
  </si>
  <si>
    <t>11</t>
  </si>
  <si>
    <t xml:space="preserve">Elektro skapju attīrīšana no rūsas, gruntēšana, krāsošana </t>
  </si>
  <si>
    <t>Apkures siltķermeņu demontāža, jaunu montāža uzstādot termoregulējošos ventiļus</t>
  </si>
  <si>
    <t>Tāme sastādīta  2020. gada tirgus cenās, pamatojoties uzAVK daļas rasējumiem</t>
  </si>
  <si>
    <t>Ēkas radiatoru apkures sistēma</t>
  </si>
  <si>
    <t>Čuguna radiatoru demontāža</t>
  </si>
  <si>
    <t>Cauruļvadu demontāža</t>
  </si>
  <si>
    <t>Caurumu izkalšana caurulēm</t>
  </si>
  <si>
    <t>17-00000</t>
  </si>
  <si>
    <t>Tērauda radiators, tips - ar sānu pieslēgumu, komplektā - korķis, atgaisošanas ventilis, stiprinājumi 22-500-1000 Purmo compact vai ekvivalents</t>
  </si>
  <si>
    <t>Tērauda radiators, tips - ar sānu pieslēgumu, komplektā - korķis, atgaisošanas ventilis, stiprinājumi 22-500-1200 Purmo compact vai ekvivalents</t>
  </si>
  <si>
    <t>Tērauda radiators, tips - ar sānu pieslēgumu, komplektā - korķis, atgaisošanas ventilis, stiprinājumi 22-500-1400 Purmo compact vai ekvivalents</t>
  </si>
  <si>
    <t>Tērauda radiators, tips - ar sānu pieslēgumu, komplektā - korķis, atgaisošanas ventilis, stiprinājumi 22-500-600 Purmo compact vai ekvivalents</t>
  </si>
  <si>
    <t>Tērauda radiators, tips - ar sānu pieslēgumu, komplektā - korķis, atgaisošanas ventilis, stiprinājumi 22-500-800 Purmo compact vai ekvivalents</t>
  </si>
  <si>
    <t>Tērauda radiators, tips - ar sānu pieslēgumu, komplektā - korķis, atgaisošanas ventilis, stiprinājumi 22-900-1600 Purmo compact vai ekvivalents</t>
  </si>
  <si>
    <t>Noslēgventilis (tauriņveida) DN15</t>
  </si>
  <si>
    <t>Termostatventilis divcauruļu sistēmām DN15</t>
  </si>
  <si>
    <t>termostata galva (mehāniskā ar ciparu iedaļām, 2cauruļu sistēmām)</t>
  </si>
  <si>
    <t>Automātiskais atgaisotājs (pēdējā stāva radiatoriem)</t>
  </si>
  <si>
    <t>Balansēšanas vārsts ASV-I DN 15;Kvs=1,6m3/st.</t>
  </si>
  <si>
    <t xml:space="preserve">Balansēšanas vārsts ASV-PV DN 15;Kvs=1,6m3/st. </t>
  </si>
  <si>
    <t>Noslēgventilis DN15</t>
  </si>
  <si>
    <t>Noslēgventilis DN20</t>
  </si>
  <si>
    <t>Alokators ar attālināto nolasīšanu</t>
  </si>
  <si>
    <t>Tērauda caurule DN15 (presejamās)</t>
  </si>
  <si>
    <t>Tērauda caurule DN20 (presējamās)</t>
  </si>
  <si>
    <t>Minerālvates izolācijas čaula, ar alum. atstarojošo slāni; s=50mm 18       (λ &lt; 0,045 W/mK) Paroc vai ekvivalents</t>
  </si>
  <si>
    <t>Minerālvates izolācijas čaula, ar alum. atstarojošo slāni; s=50mm 22          (λ &lt; 0,045 W/mK) Paroc vai ekvivalents</t>
  </si>
  <si>
    <t>Minerālvates izolācijas čaula, ar alum. atstarojošo slāni; s=50mm 21-76 (λ &lt; 0,045 W/mK) Paroc vai ekvivalents</t>
  </si>
  <si>
    <t>Ugunsdrošās manžetes cauruļvadu pārsegumu šķērsojumu vietās</t>
  </si>
  <si>
    <t>Izolācijas montāžas palīgmateriāli</t>
  </si>
  <si>
    <t>Cauruļu veidgabali, stiprinājumi, saskrūves u.c. palīgmateriāli</t>
  </si>
  <si>
    <t>Tāme sastādīta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</si>
</sst>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;;"/>
    <numFmt numFmtId="165" formatCode="0;;"/>
    <numFmt numFmtId="166" formatCode="0.0%"/>
    <numFmt numFmtId="167" formatCode="0.0"/>
  </numFmts>
  <fonts count="2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0"/>
      <name val="Times New Roman"/>
      <family val="1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8"/>
      <name val="Times New Roman"/>
      <family val="1"/>
    </font>
    <font>
      <sz val="8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</font>
    <font>
      <vertAlign val="superscript"/>
      <sz val="10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2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1" fontId="6" fillId="0" borderId="29" xfId="4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67" fontId="7" fillId="0" borderId="45" xfId="4" applyNumberFormat="1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/>
    </xf>
    <xf numFmtId="2" fontId="6" fillId="0" borderId="29" xfId="4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 applyProtection="1">
      <alignment vertical="center" wrapText="1"/>
    </xf>
    <xf numFmtId="1" fontId="6" fillId="0" borderId="27" xfId="4" applyNumberFormat="1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 applyProtection="1">
      <alignment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47" xfId="2" applyFont="1" applyFill="1" applyBorder="1" applyAlignment="1">
      <alignment wrapText="1"/>
    </xf>
    <xf numFmtId="0" fontId="8" fillId="0" borderId="47" xfId="2" applyFont="1" applyFill="1" applyBorder="1" applyAlignment="1">
      <alignment horizontal="center" vertical="center"/>
    </xf>
    <xf numFmtId="2" fontId="6" fillId="0" borderId="27" xfId="4" applyNumberFormat="1" applyFont="1" applyFill="1" applyBorder="1" applyAlignment="1">
      <alignment horizontal="center" vertical="center"/>
    </xf>
    <xf numFmtId="2" fontId="6" fillId="0" borderId="47" xfId="2" applyNumberFormat="1" applyFont="1" applyFill="1" applyBorder="1" applyAlignment="1">
      <alignment horizontal="center" vertical="center" wrapText="1"/>
    </xf>
    <xf numFmtId="1" fontId="6" fillId="0" borderId="29" xfId="4" applyNumberFormat="1" applyFont="1" applyFill="1" applyBorder="1" applyAlignment="1">
      <alignment horizontal="center" vertical="center"/>
    </xf>
    <xf numFmtId="49" fontId="6" fillId="0" borderId="29" xfId="4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 applyProtection="1">
      <alignment horizontal="left" vertical="center" wrapText="1"/>
    </xf>
    <xf numFmtId="1" fontId="6" fillId="0" borderId="29" xfId="0" applyNumberFormat="1" applyFont="1" applyFill="1" applyBorder="1" applyAlignment="1">
      <alignment horizontal="center" vertical="center"/>
    </xf>
    <xf numFmtId="49" fontId="6" fillId="0" borderId="27" xfId="5" applyNumberFormat="1" applyFont="1" applyFill="1" applyBorder="1" applyAlignment="1">
      <alignment horizontal="center" vertical="center" wrapText="1"/>
    </xf>
    <xf numFmtId="0" fontId="6" fillId="0" borderId="48" xfId="0" applyNumberFormat="1" applyFont="1" applyFill="1" applyBorder="1" applyAlignment="1">
      <alignment horizontal="left" wrapText="1"/>
    </xf>
    <xf numFmtId="43" fontId="6" fillId="0" borderId="48" xfId="0" applyNumberFormat="1" applyFont="1" applyFill="1" applyBorder="1" applyAlignment="1">
      <alignment horizontal="center" wrapText="1"/>
    </xf>
    <xf numFmtId="2" fontId="6" fillId="0" borderId="48" xfId="0" applyNumberFormat="1" applyFont="1" applyFill="1" applyBorder="1" applyAlignment="1">
      <alignment horizontal="center" wrapText="1"/>
    </xf>
    <xf numFmtId="49" fontId="6" fillId="0" borderId="49" xfId="4" applyNumberFormat="1" applyFont="1" applyFill="1" applyBorder="1" applyAlignment="1">
      <alignment horizontal="center" vertical="center" wrapText="1"/>
    </xf>
    <xf numFmtId="49" fontId="6" fillId="0" borderId="50" xfId="5" applyNumberFormat="1" applyFont="1" applyFill="1" applyBorder="1" applyAlignment="1">
      <alignment horizontal="center" vertical="center" wrapText="1"/>
    </xf>
    <xf numFmtId="0" fontId="6" fillId="0" borderId="51" xfId="0" applyNumberFormat="1" applyFont="1" applyFill="1" applyBorder="1" applyAlignment="1">
      <alignment horizontal="left" wrapText="1"/>
    </xf>
    <xf numFmtId="43" fontId="6" fillId="0" borderId="51" xfId="0" applyNumberFormat="1" applyFont="1" applyFill="1" applyBorder="1" applyAlignment="1">
      <alignment horizontal="center" wrapText="1"/>
    </xf>
    <xf numFmtId="1" fontId="6" fillId="0" borderId="51" xfId="0" applyNumberFormat="1" applyFont="1" applyFill="1" applyBorder="1" applyAlignment="1">
      <alignment horizontal="center" wrapText="1"/>
    </xf>
    <xf numFmtId="49" fontId="6" fillId="0" borderId="52" xfId="5" applyNumberFormat="1" applyFont="1" applyFill="1" applyBorder="1" applyAlignment="1">
      <alignment horizontal="center" vertical="center" wrapText="1"/>
    </xf>
    <xf numFmtId="43" fontId="6" fillId="0" borderId="53" xfId="0" applyNumberFormat="1" applyFont="1" applyBorder="1" applyAlignment="1">
      <alignment horizontal="left" wrapText="1"/>
    </xf>
    <xf numFmtId="43" fontId="6" fillId="0" borderId="53" xfId="0" applyNumberFormat="1" applyFont="1" applyBorder="1" applyAlignment="1">
      <alignment horizontal="center" wrapText="1"/>
    </xf>
    <xf numFmtId="2" fontId="6" fillId="0" borderId="53" xfId="0" applyNumberFormat="1" applyFont="1" applyFill="1" applyBorder="1" applyAlignment="1">
      <alignment horizontal="center" wrapText="1"/>
    </xf>
    <xf numFmtId="0" fontId="6" fillId="2" borderId="49" xfId="0" applyNumberFormat="1" applyFont="1" applyFill="1" applyBorder="1" applyAlignment="1">
      <alignment horizontal="left" wrapText="1"/>
    </xf>
    <xf numFmtId="43" fontId="6" fillId="2" borderId="49" xfId="0" applyNumberFormat="1" applyFont="1" applyFill="1" applyBorder="1" applyAlignment="1">
      <alignment horizontal="center" wrapText="1"/>
    </xf>
    <xf numFmtId="2" fontId="6" fillId="2" borderId="47" xfId="0" applyNumberFormat="1" applyFont="1" applyFill="1" applyBorder="1" applyAlignment="1">
      <alignment horizontal="center" wrapText="1"/>
    </xf>
    <xf numFmtId="49" fontId="6" fillId="0" borderId="29" xfId="5" applyNumberFormat="1" applyFont="1" applyFill="1" applyBorder="1" applyAlignment="1">
      <alignment horizontal="center" vertical="center" wrapText="1"/>
    </xf>
    <xf numFmtId="43" fontId="6" fillId="2" borderId="47" xfId="0" applyNumberFormat="1" applyFont="1" applyFill="1" applyBorder="1" applyAlignment="1">
      <alignment horizontal="left" wrapText="1"/>
    </xf>
    <xf numFmtId="43" fontId="6" fillId="2" borderId="47" xfId="0" applyNumberFormat="1" applyFont="1" applyFill="1" applyBorder="1" applyAlignment="1">
      <alignment horizontal="center" wrapText="1"/>
    </xf>
    <xf numFmtId="1" fontId="6" fillId="2" borderId="47" xfId="0" applyNumberFormat="1" applyFont="1" applyFill="1" applyBorder="1" applyAlignment="1">
      <alignment horizontal="center" wrapText="1"/>
    </xf>
    <xf numFmtId="49" fontId="6" fillId="0" borderId="49" xfId="5" applyNumberFormat="1" applyFont="1" applyFill="1" applyBorder="1" applyAlignment="1">
      <alignment horizontal="center" vertical="center" wrapText="1"/>
    </xf>
    <xf numFmtId="0" fontId="10" fillId="2" borderId="47" xfId="0" applyNumberFormat="1" applyFont="1" applyFill="1" applyBorder="1" applyAlignment="1">
      <alignment horizontal="left" wrapText="1"/>
    </xf>
    <xf numFmtId="0" fontId="6" fillId="2" borderId="49" xfId="0" applyFont="1" applyFill="1" applyBorder="1" applyAlignment="1">
      <alignment horizontal="center" vertical="center"/>
    </xf>
    <xf numFmtId="2" fontId="6" fillId="2" borderId="49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 wrapText="1"/>
    </xf>
    <xf numFmtId="0" fontId="6" fillId="2" borderId="49" xfId="0" applyFont="1" applyFill="1" applyBorder="1" applyAlignment="1"/>
    <xf numFmtId="49" fontId="6" fillId="0" borderId="50" xfId="4" applyNumberFormat="1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/>
    </xf>
    <xf numFmtId="1" fontId="6" fillId="2" borderId="49" xfId="0" applyNumberFormat="1" applyFont="1" applyFill="1" applyBorder="1" applyAlignment="1">
      <alignment horizontal="center" vertical="center"/>
    </xf>
    <xf numFmtId="49" fontId="6" fillId="0" borderId="45" xfId="4" applyNumberFormat="1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wrapText="1"/>
    </xf>
    <xf numFmtId="0" fontId="6" fillId="0" borderId="54" xfId="1" applyFont="1" applyFill="1" applyBorder="1" applyAlignment="1">
      <alignment horizontal="center" wrapText="1"/>
    </xf>
    <xf numFmtId="2" fontId="11" fillId="0" borderId="54" xfId="1" applyNumberFormat="1" applyFont="1" applyFill="1" applyBorder="1" applyAlignment="1">
      <alignment horizontal="center"/>
    </xf>
    <xf numFmtId="0" fontId="6" fillId="0" borderId="47" xfId="0" applyNumberFormat="1" applyFont="1" applyFill="1" applyBorder="1" applyAlignment="1">
      <alignment horizontal="left" wrapText="1"/>
    </xf>
    <xf numFmtId="43" fontId="6" fillId="0" borderId="47" xfId="0" applyNumberFormat="1" applyFont="1" applyFill="1" applyBorder="1" applyAlignment="1">
      <alignment horizontal="center" wrapText="1"/>
    </xf>
    <xf numFmtId="0" fontId="6" fillId="0" borderId="47" xfId="1" applyNumberFormat="1" applyFont="1" applyFill="1" applyBorder="1" applyAlignment="1">
      <alignment horizontal="left" wrapText="1"/>
    </xf>
    <xf numFmtId="0" fontId="6" fillId="0" borderId="47" xfId="1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2" fontId="6" fillId="0" borderId="47" xfId="0" applyNumberFormat="1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 wrapText="1"/>
    </xf>
    <xf numFmtId="0" fontId="12" fillId="0" borderId="47" xfId="1" applyFont="1" applyFill="1" applyBorder="1" applyAlignment="1">
      <alignment horizontal="center"/>
    </xf>
    <xf numFmtId="0" fontId="6" fillId="0" borderId="47" xfId="0" applyFont="1" applyFill="1" applyBorder="1" applyAlignment="1">
      <alignment wrapText="1"/>
    </xf>
    <xf numFmtId="0" fontId="6" fillId="0" borderId="47" xfId="1" applyFont="1" applyFill="1" applyBorder="1" applyAlignment="1">
      <alignment wrapText="1"/>
    </xf>
    <xf numFmtId="1" fontId="6" fillId="0" borderId="47" xfId="1" applyNumberFormat="1" applyFont="1" applyFill="1" applyBorder="1" applyAlignment="1">
      <alignment horizontal="center"/>
    </xf>
    <xf numFmtId="0" fontId="6" fillId="0" borderId="47" xfId="1" applyFont="1" applyFill="1" applyBorder="1" applyAlignment="1">
      <alignment horizontal="center"/>
    </xf>
    <xf numFmtId="2" fontId="6" fillId="0" borderId="47" xfId="1" applyNumberFormat="1" applyFont="1" applyFill="1" applyBorder="1" applyAlignment="1">
      <alignment horizontal="center"/>
    </xf>
    <xf numFmtId="0" fontId="6" fillId="0" borderId="47" xfId="0" applyNumberFormat="1" applyFont="1" applyFill="1" applyBorder="1" applyAlignment="1">
      <alignment wrapText="1"/>
    </xf>
    <xf numFmtId="0" fontId="6" fillId="0" borderId="47" xfId="0" applyNumberFormat="1" applyFont="1" applyBorder="1" applyAlignment="1">
      <alignment horizontal="left" wrapText="1"/>
    </xf>
    <xf numFmtId="43" fontId="6" fillId="0" borderId="47" xfId="0" applyNumberFormat="1" applyFont="1" applyBorder="1" applyAlignment="1">
      <alignment horizontal="center" wrapText="1"/>
    </xf>
    <xf numFmtId="2" fontId="6" fillId="0" borderId="47" xfId="0" applyNumberFormat="1" applyFont="1" applyFill="1" applyBorder="1" applyAlignment="1">
      <alignment horizontal="center" wrapText="1"/>
    </xf>
    <xf numFmtId="2" fontId="13" fillId="0" borderId="47" xfId="1" applyNumberFormat="1" applyFont="1" applyFill="1" applyBorder="1" applyAlignment="1">
      <alignment horizontal="center"/>
    </xf>
    <xf numFmtId="2" fontId="13" fillId="0" borderId="47" xfId="0" applyNumberFormat="1" applyFont="1" applyFill="1" applyBorder="1" applyAlignment="1">
      <alignment horizontal="center"/>
    </xf>
    <xf numFmtId="2" fontId="13" fillId="0" borderId="48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 wrapText="1"/>
    </xf>
    <xf numFmtId="49" fontId="6" fillId="0" borderId="45" xfId="4" applyNumberFormat="1" applyFont="1" applyBorder="1" applyAlignment="1">
      <alignment vertical="center"/>
    </xf>
    <xf numFmtId="167" fontId="7" fillId="0" borderId="45" xfId="4" applyNumberFormat="1" applyFont="1" applyBorder="1" applyAlignment="1">
      <alignment vertical="center" wrapText="1"/>
    </xf>
    <xf numFmtId="0" fontId="6" fillId="0" borderId="45" xfId="0" applyFont="1" applyFill="1" applyBorder="1" applyAlignment="1">
      <alignment horizontal="center" vertical="center"/>
    </xf>
    <xf numFmtId="1" fontId="6" fillId="0" borderId="45" xfId="4" applyNumberFormat="1" applyFont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wrapText="1"/>
    </xf>
    <xf numFmtId="49" fontId="6" fillId="0" borderId="29" xfId="4" applyNumberFormat="1" applyFont="1" applyBorder="1" applyAlignment="1">
      <alignment vertical="center" wrapText="1"/>
    </xf>
    <xf numFmtId="167" fontId="6" fillId="0" borderId="29" xfId="4" applyNumberFormat="1" applyFont="1" applyBorder="1" applyAlignment="1">
      <alignment vertical="center" wrapText="1"/>
    </xf>
    <xf numFmtId="167" fontId="6" fillId="0" borderId="29" xfId="4" applyNumberFormat="1" applyFont="1" applyBorder="1" applyAlignment="1">
      <alignment horizontal="center" vertical="center"/>
    </xf>
    <xf numFmtId="2" fontId="6" fillId="0" borderId="29" xfId="4" applyNumberFormat="1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/>
    <xf numFmtId="0" fontId="6" fillId="0" borderId="29" xfId="0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left"/>
    </xf>
    <xf numFmtId="1" fontId="6" fillId="0" borderId="29" xfId="0" applyNumberFormat="1" applyFont="1" applyBorder="1" applyAlignment="1">
      <alignment horizontal="center" vertical="center"/>
    </xf>
    <xf numFmtId="2" fontId="6" fillId="0" borderId="29" xfId="5" applyNumberFormat="1" applyFont="1" applyFill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2" fontId="10" fillId="0" borderId="29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167" fontId="6" fillId="0" borderId="29" xfId="4" applyNumberFormat="1" applyFont="1" applyFill="1" applyBorder="1" applyAlignment="1">
      <alignment vertical="center" wrapText="1"/>
    </xf>
    <xf numFmtId="167" fontId="6" fillId="0" borderId="29" xfId="5" applyNumberFormat="1" applyFont="1" applyFill="1" applyBorder="1" applyAlignment="1">
      <alignment vertical="center" wrapText="1"/>
    </xf>
    <xf numFmtId="2" fontId="19" fillId="0" borderId="29" xfId="0" applyNumberFormat="1" applyFont="1" applyFill="1" applyBorder="1" applyAlignment="1">
      <alignment horizontal="center" vertical="center"/>
    </xf>
    <xf numFmtId="2" fontId="13" fillId="0" borderId="29" xfId="0" applyNumberFormat="1" applyFont="1" applyFill="1" applyBorder="1" applyAlignment="1">
      <alignment horizontal="center" vertical="center"/>
    </xf>
    <xf numFmtId="2" fontId="10" fillId="0" borderId="29" xfId="4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45" xfId="0" applyFont="1" applyBorder="1" applyAlignment="1">
      <alignment horizontal="center" vertical="center"/>
    </xf>
    <xf numFmtId="2" fontId="10" fillId="0" borderId="4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2" fontId="6" fillId="0" borderId="45" xfId="0" applyNumberFormat="1" applyFont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0" fontId="15" fillId="0" borderId="27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2" fontId="6" fillId="0" borderId="23" xfId="4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1" fontId="6" fillId="0" borderId="27" xfId="4" applyNumberFormat="1" applyFont="1" applyFill="1" applyBorder="1" applyAlignment="1">
      <alignment horizontal="center" vertical="center"/>
    </xf>
    <xf numFmtId="1" fontId="15" fillId="0" borderId="27" xfId="0" applyNumberFormat="1" applyFont="1" applyFill="1" applyBorder="1" applyAlignment="1">
      <alignment horizontal="center" vertical="center"/>
    </xf>
    <xf numFmtId="2" fontId="11" fillId="0" borderId="27" xfId="4" applyNumberFormat="1" applyFont="1" applyFill="1" applyBorder="1" applyAlignment="1">
      <alignment horizontal="center" vertical="center"/>
    </xf>
    <xf numFmtId="1" fontId="6" fillId="0" borderId="27" xfId="5" applyNumberFormat="1" applyFont="1" applyFill="1" applyBorder="1" applyAlignment="1">
      <alignment horizontal="center" vertical="center"/>
    </xf>
    <xf numFmtId="2" fontId="13" fillId="0" borderId="27" xfId="4" applyNumberFormat="1" applyFont="1" applyFill="1" applyBorder="1" applyAlignment="1">
      <alignment horizontal="center" vertical="center"/>
    </xf>
    <xf numFmtId="2" fontId="15" fillId="0" borderId="29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 applyProtection="1">
      <alignment vertical="center" wrapText="1"/>
    </xf>
    <xf numFmtId="1" fontId="6" fillId="0" borderId="29" xfId="5" applyNumberFormat="1" applyFont="1" applyFill="1" applyBorder="1" applyAlignment="1">
      <alignment horizontal="left" vertical="center" wrapText="1"/>
    </xf>
    <xf numFmtId="1" fontId="6" fillId="0" borderId="29" xfId="5" applyNumberFormat="1" applyFont="1" applyFill="1" applyBorder="1" applyAlignment="1">
      <alignment horizontal="center" vertical="center" wrapText="1"/>
    </xf>
    <xf numFmtId="2" fontId="6" fillId="0" borderId="27" xfId="5" applyNumberFormat="1" applyFont="1" applyFill="1" applyBorder="1" applyAlignment="1">
      <alignment horizontal="center" vertical="center" wrapText="1"/>
    </xf>
    <xf numFmtId="1" fontId="6" fillId="0" borderId="27" xfId="5" applyNumberFormat="1" applyFont="1" applyFill="1" applyBorder="1" applyAlignment="1">
      <alignment horizontal="center" vertical="center" wrapText="1"/>
    </xf>
    <xf numFmtId="2" fontId="6" fillId="0" borderId="27" xfId="5" applyNumberFormat="1" applyFont="1" applyFill="1" applyBorder="1" applyAlignment="1">
      <alignment horizontal="center" vertical="center"/>
    </xf>
    <xf numFmtId="2" fontId="13" fillId="0" borderId="27" xfId="5" applyNumberFormat="1" applyFont="1" applyFill="1" applyBorder="1" applyAlignment="1">
      <alignment horizontal="center" vertical="center" wrapText="1"/>
    </xf>
    <xf numFmtId="1" fontId="13" fillId="0" borderId="27" xfId="5" applyNumberFormat="1" applyFont="1" applyFill="1" applyBorder="1" applyAlignment="1">
      <alignment horizontal="center" vertical="center" wrapText="1"/>
    </xf>
    <xf numFmtId="2" fontId="13" fillId="0" borderId="27" xfId="5" applyNumberFormat="1" applyFont="1" applyFill="1" applyBorder="1" applyAlignment="1">
      <alignment horizontal="center" vertical="center"/>
    </xf>
    <xf numFmtId="1" fontId="13" fillId="0" borderId="27" xfId="5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 vertical="center" wrapText="1"/>
    </xf>
    <xf numFmtId="1" fontId="6" fillId="0" borderId="29" xfId="0" applyNumberFormat="1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wrapText="1"/>
    </xf>
    <xf numFmtId="0" fontId="6" fillId="0" borderId="29" xfId="0" applyFont="1" applyBorder="1" applyAlignment="1">
      <alignment horizontal="justify" vertic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horizontal="right"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</cellXfs>
  <cellStyles count="6">
    <cellStyle name="Normal" xfId="0" builtinId="0"/>
    <cellStyle name="Normal 2" xfId="2" xr:uid="{7728D04F-492C-44E8-B42B-2D52765FDA4E}"/>
    <cellStyle name="Normal_TameTuristu5-2011-08-06" xfId="4" xr:uid="{59C7E83E-900F-7143-8482-6F85F663C255}"/>
    <cellStyle name="Normal_TameTuristu5-2011-08-06 2" xfId="5" xr:uid="{0100B8D4-2548-594B-A7B6-0D100F01AF55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172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>
    <pageSetUpPr fitToPage="1"/>
  </sheetPr>
  <dimension ref="A2:C36"/>
  <sheetViews>
    <sheetView topLeftCell="A4" workbookViewId="0">
      <selection activeCell="B16" sqref="B16"/>
    </sheetView>
  </sheetViews>
  <sheetFormatPr defaultColWidth="8.77734375" defaultRowHeight="10.199999999999999" x14ac:dyDescent="0.2"/>
  <cols>
    <col min="1" max="1" width="16.77734375" style="1" customWidth="1"/>
    <col min="2" max="2" width="43.44140625" style="1" customWidth="1"/>
    <col min="3" max="3" width="22.44140625" style="1" customWidth="1"/>
    <col min="4" max="210" width="9.109375" style="1"/>
    <col min="211" max="211" width="1.44140625" style="1" customWidth="1"/>
    <col min="212" max="212" width="2.109375" style="1" customWidth="1"/>
    <col min="213" max="213" width="16.77734375" style="1" customWidth="1"/>
    <col min="214" max="214" width="43.44140625" style="1" customWidth="1"/>
    <col min="215" max="215" width="22.44140625" style="1" customWidth="1"/>
    <col min="216" max="216" width="9.109375" style="1"/>
    <col min="217" max="217" width="13.77734375" style="1" bestFit="1" customWidth="1"/>
    <col min="218" max="466" width="9.109375" style="1"/>
    <col min="467" max="467" width="1.44140625" style="1" customWidth="1"/>
    <col min="468" max="468" width="2.109375" style="1" customWidth="1"/>
    <col min="469" max="469" width="16.77734375" style="1" customWidth="1"/>
    <col min="470" max="470" width="43.44140625" style="1" customWidth="1"/>
    <col min="471" max="471" width="22.44140625" style="1" customWidth="1"/>
    <col min="472" max="472" width="9.109375" style="1"/>
    <col min="473" max="473" width="13.77734375" style="1" bestFit="1" customWidth="1"/>
    <col min="474" max="722" width="9.109375" style="1"/>
    <col min="723" max="723" width="1.44140625" style="1" customWidth="1"/>
    <col min="724" max="724" width="2.109375" style="1" customWidth="1"/>
    <col min="725" max="725" width="16.77734375" style="1" customWidth="1"/>
    <col min="726" max="726" width="43.44140625" style="1" customWidth="1"/>
    <col min="727" max="727" width="22.44140625" style="1" customWidth="1"/>
    <col min="728" max="728" width="9.109375" style="1"/>
    <col min="729" max="729" width="13.77734375" style="1" bestFit="1" customWidth="1"/>
    <col min="730" max="978" width="9.109375" style="1"/>
    <col min="979" max="979" width="1.44140625" style="1" customWidth="1"/>
    <col min="980" max="980" width="2.109375" style="1" customWidth="1"/>
    <col min="981" max="981" width="16.77734375" style="1" customWidth="1"/>
    <col min="982" max="982" width="43.44140625" style="1" customWidth="1"/>
    <col min="983" max="983" width="22.44140625" style="1" customWidth="1"/>
    <col min="984" max="984" width="9.109375" style="1"/>
    <col min="985" max="985" width="13.77734375" style="1" bestFit="1" customWidth="1"/>
    <col min="986" max="1234" width="9.109375" style="1"/>
    <col min="1235" max="1235" width="1.44140625" style="1" customWidth="1"/>
    <col min="1236" max="1236" width="2.109375" style="1" customWidth="1"/>
    <col min="1237" max="1237" width="16.77734375" style="1" customWidth="1"/>
    <col min="1238" max="1238" width="43.44140625" style="1" customWidth="1"/>
    <col min="1239" max="1239" width="22.44140625" style="1" customWidth="1"/>
    <col min="1240" max="1240" width="9.109375" style="1"/>
    <col min="1241" max="1241" width="13.77734375" style="1" bestFit="1" customWidth="1"/>
    <col min="1242" max="1490" width="9.109375" style="1"/>
    <col min="1491" max="1491" width="1.44140625" style="1" customWidth="1"/>
    <col min="1492" max="1492" width="2.109375" style="1" customWidth="1"/>
    <col min="1493" max="1493" width="16.77734375" style="1" customWidth="1"/>
    <col min="1494" max="1494" width="43.44140625" style="1" customWidth="1"/>
    <col min="1495" max="1495" width="22.44140625" style="1" customWidth="1"/>
    <col min="1496" max="1496" width="9.109375" style="1"/>
    <col min="1497" max="1497" width="13.77734375" style="1" bestFit="1" customWidth="1"/>
    <col min="1498" max="1746" width="9.109375" style="1"/>
    <col min="1747" max="1747" width="1.44140625" style="1" customWidth="1"/>
    <col min="1748" max="1748" width="2.109375" style="1" customWidth="1"/>
    <col min="1749" max="1749" width="16.77734375" style="1" customWidth="1"/>
    <col min="1750" max="1750" width="43.44140625" style="1" customWidth="1"/>
    <col min="1751" max="1751" width="22.44140625" style="1" customWidth="1"/>
    <col min="1752" max="1752" width="9.109375" style="1"/>
    <col min="1753" max="1753" width="13.77734375" style="1" bestFit="1" customWidth="1"/>
    <col min="1754" max="2002" width="9.109375" style="1"/>
    <col min="2003" max="2003" width="1.44140625" style="1" customWidth="1"/>
    <col min="2004" max="2004" width="2.109375" style="1" customWidth="1"/>
    <col min="2005" max="2005" width="16.77734375" style="1" customWidth="1"/>
    <col min="2006" max="2006" width="43.44140625" style="1" customWidth="1"/>
    <col min="2007" max="2007" width="22.44140625" style="1" customWidth="1"/>
    <col min="2008" max="2008" width="9.109375" style="1"/>
    <col min="2009" max="2009" width="13.77734375" style="1" bestFit="1" customWidth="1"/>
    <col min="2010" max="2258" width="9.109375" style="1"/>
    <col min="2259" max="2259" width="1.44140625" style="1" customWidth="1"/>
    <col min="2260" max="2260" width="2.109375" style="1" customWidth="1"/>
    <col min="2261" max="2261" width="16.77734375" style="1" customWidth="1"/>
    <col min="2262" max="2262" width="43.44140625" style="1" customWidth="1"/>
    <col min="2263" max="2263" width="22.44140625" style="1" customWidth="1"/>
    <col min="2264" max="2264" width="9.109375" style="1"/>
    <col min="2265" max="2265" width="13.77734375" style="1" bestFit="1" customWidth="1"/>
    <col min="2266" max="2514" width="9.109375" style="1"/>
    <col min="2515" max="2515" width="1.44140625" style="1" customWidth="1"/>
    <col min="2516" max="2516" width="2.109375" style="1" customWidth="1"/>
    <col min="2517" max="2517" width="16.77734375" style="1" customWidth="1"/>
    <col min="2518" max="2518" width="43.44140625" style="1" customWidth="1"/>
    <col min="2519" max="2519" width="22.44140625" style="1" customWidth="1"/>
    <col min="2520" max="2520" width="9.109375" style="1"/>
    <col min="2521" max="2521" width="13.77734375" style="1" bestFit="1" customWidth="1"/>
    <col min="2522" max="2770" width="9.109375" style="1"/>
    <col min="2771" max="2771" width="1.44140625" style="1" customWidth="1"/>
    <col min="2772" max="2772" width="2.109375" style="1" customWidth="1"/>
    <col min="2773" max="2773" width="16.77734375" style="1" customWidth="1"/>
    <col min="2774" max="2774" width="43.44140625" style="1" customWidth="1"/>
    <col min="2775" max="2775" width="22.44140625" style="1" customWidth="1"/>
    <col min="2776" max="2776" width="9.109375" style="1"/>
    <col min="2777" max="2777" width="13.77734375" style="1" bestFit="1" customWidth="1"/>
    <col min="2778" max="3026" width="9.109375" style="1"/>
    <col min="3027" max="3027" width="1.44140625" style="1" customWidth="1"/>
    <col min="3028" max="3028" width="2.109375" style="1" customWidth="1"/>
    <col min="3029" max="3029" width="16.77734375" style="1" customWidth="1"/>
    <col min="3030" max="3030" width="43.44140625" style="1" customWidth="1"/>
    <col min="3031" max="3031" width="22.44140625" style="1" customWidth="1"/>
    <col min="3032" max="3032" width="9.109375" style="1"/>
    <col min="3033" max="3033" width="13.77734375" style="1" bestFit="1" customWidth="1"/>
    <col min="3034" max="3282" width="9.109375" style="1"/>
    <col min="3283" max="3283" width="1.44140625" style="1" customWidth="1"/>
    <col min="3284" max="3284" width="2.109375" style="1" customWidth="1"/>
    <col min="3285" max="3285" width="16.77734375" style="1" customWidth="1"/>
    <col min="3286" max="3286" width="43.44140625" style="1" customWidth="1"/>
    <col min="3287" max="3287" width="22.44140625" style="1" customWidth="1"/>
    <col min="3288" max="3288" width="9.109375" style="1"/>
    <col min="3289" max="3289" width="13.77734375" style="1" bestFit="1" customWidth="1"/>
    <col min="3290" max="3538" width="9.109375" style="1"/>
    <col min="3539" max="3539" width="1.44140625" style="1" customWidth="1"/>
    <col min="3540" max="3540" width="2.109375" style="1" customWidth="1"/>
    <col min="3541" max="3541" width="16.77734375" style="1" customWidth="1"/>
    <col min="3542" max="3542" width="43.44140625" style="1" customWidth="1"/>
    <col min="3543" max="3543" width="22.44140625" style="1" customWidth="1"/>
    <col min="3544" max="3544" width="9.109375" style="1"/>
    <col min="3545" max="3545" width="13.77734375" style="1" bestFit="1" customWidth="1"/>
    <col min="3546" max="3794" width="9.109375" style="1"/>
    <col min="3795" max="3795" width="1.44140625" style="1" customWidth="1"/>
    <col min="3796" max="3796" width="2.109375" style="1" customWidth="1"/>
    <col min="3797" max="3797" width="16.77734375" style="1" customWidth="1"/>
    <col min="3798" max="3798" width="43.44140625" style="1" customWidth="1"/>
    <col min="3799" max="3799" width="22.44140625" style="1" customWidth="1"/>
    <col min="3800" max="3800" width="9.109375" style="1"/>
    <col min="3801" max="3801" width="13.77734375" style="1" bestFit="1" customWidth="1"/>
    <col min="3802" max="4050" width="9.109375" style="1"/>
    <col min="4051" max="4051" width="1.44140625" style="1" customWidth="1"/>
    <col min="4052" max="4052" width="2.109375" style="1" customWidth="1"/>
    <col min="4053" max="4053" width="16.77734375" style="1" customWidth="1"/>
    <col min="4054" max="4054" width="43.44140625" style="1" customWidth="1"/>
    <col min="4055" max="4055" width="22.44140625" style="1" customWidth="1"/>
    <col min="4056" max="4056" width="9.109375" style="1"/>
    <col min="4057" max="4057" width="13.77734375" style="1" bestFit="1" customWidth="1"/>
    <col min="4058" max="4306" width="9.109375" style="1"/>
    <col min="4307" max="4307" width="1.44140625" style="1" customWidth="1"/>
    <col min="4308" max="4308" width="2.109375" style="1" customWidth="1"/>
    <col min="4309" max="4309" width="16.77734375" style="1" customWidth="1"/>
    <col min="4310" max="4310" width="43.44140625" style="1" customWidth="1"/>
    <col min="4311" max="4311" width="22.44140625" style="1" customWidth="1"/>
    <col min="4312" max="4312" width="9.109375" style="1"/>
    <col min="4313" max="4313" width="13.77734375" style="1" bestFit="1" customWidth="1"/>
    <col min="4314" max="4562" width="9.109375" style="1"/>
    <col min="4563" max="4563" width="1.44140625" style="1" customWidth="1"/>
    <col min="4564" max="4564" width="2.109375" style="1" customWidth="1"/>
    <col min="4565" max="4565" width="16.77734375" style="1" customWidth="1"/>
    <col min="4566" max="4566" width="43.44140625" style="1" customWidth="1"/>
    <col min="4567" max="4567" width="22.44140625" style="1" customWidth="1"/>
    <col min="4568" max="4568" width="9.109375" style="1"/>
    <col min="4569" max="4569" width="13.77734375" style="1" bestFit="1" customWidth="1"/>
    <col min="4570" max="4818" width="9.109375" style="1"/>
    <col min="4819" max="4819" width="1.44140625" style="1" customWidth="1"/>
    <col min="4820" max="4820" width="2.109375" style="1" customWidth="1"/>
    <col min="4821" max="4821" width="16.77734375" style="1" customWidth="1"/>
    <col min="4822" max="4822" width="43.44140625" style="1" customWidth="1"/>
    <col min="4823" max="4823" width="22.44140625" style="1" customWidth="1"/>
    <col min="4824" max="4824" width="9.109375" style="1"/>
    <col min="4825" max="4825" width="13.77734375" style="1" bestFit="1" customWidth="1"/>
    <col min="4826" max="5074" width="9.109375" style="1"/>
    <col min="5075" max="5075" width="1.44140625" style="1" customWidth="1"/>
    <col min="5076" max="5076" width="2.109375" style="1" customWidth="1"/>
    <col min="5077" max="5077" width="16.77734375" style="1" customWidth="1"/>
    <col min="5078" max="5078" width="43.44140625" style="1" customWidth="1"/>
    <col min="5079" max="5079" width="22.44140625" style="1" customWidth="1"/>
    <col min="5080" max="5080" width="9.109375" style="1"/>
    <col min="5081" max="5081" width="13.77734375" style="1" bestFit="1" customWidth="1"/>
    <col min="5082" max="5330" width="9.109375" style="1"/>
    <col min="5331" max="5331" width="1.44140625" style="1" customWidth="1"/>
    <col min="5332" max="5332" width="2.109375" style="1" customWidth="1"/>
    <col min="5333" max="5333" width="16.77734375" style="1" customWidth="1"/>
    <col min="5334" max="5334" width="43.44140625" style="1" customWidth="1"/>
    <col min="5335" max="5335" width="22.44140625" style="1" customWidth="1"/>
    <col min="5336" max="5336" width="9.109375" style="1"/>
    <col min="5337" max="5337" width="13.77734375" style="1" bestFit="1" customWidth="1"/>
    <col min="5338" max="5586" width="9.109375" style="1"/>
    <col min="5587" max="5587" width="1.44140625" style="1" customWidth="1"/>
    <col min="5588" max="5588" width="2.109375" style="1" customWidth="1"/>
    <col min="5589" max="5589" width="16.77734375" style="1" customWidth="1"/>
    <col min="5590" max="5590" width="43.44140625" style="1" customWidth="1"/>
    <col min="5591" max="5591" width="22.44140625" style="1" customWidth="1"/>
    <col min="5592" max="5592" width="9.109375" style="1"/>
    <col min="5593" max="5593" width="13.77734375" style="1" bestFit="1" customWidth="1"/>
    <col min="5594" max="5842" width="9.109375" style="1"/>
    <col min="5843" max="5843" width="1.44140625" style="1" customWidth="1"/>
    <col min="5844" max="5844" width="2.109375" style="1" customWidth="1"/>
    <col min="5845" max="5845" width="16.77734375" style="1" customWidth="1"/>
    <col min="5846" max="5846" width="43.44140625" style="1" customWidth="1"/>
    <col min="5847" max="5847" width="22.44140625" style="1" customWidth="1"/>
    <col min="5848" max="5848" width="9.109375" style="1"/>
    <col min="5849" max="5849" width="13.77734375" style="1" bestFit="1" customWidth="1"/>
    <col min="5850" max="6098" width="9.109375" style="1"/>
    <col min="6099" max="6099" width="1.44140625" style="1" customWidth="1"/>
    <col min="6100" max="6100" width="2.109375" style="1" customWidth="1"/>
    <col min="6101" max="6101" width="16.77734375" style="1" customWidth="1"/>
    <col min="6102" max="6102" width="43.44140625" style="1" customWidth="1"/>
    <col min="6103" max="6103" width="22.44140625" style="1" customWidth="1"/>
    <col min="6104" max="6104" width="9.109375" style="1"/>
    <col min="6105" max="6105" width="13.77734375" style="1" bestFit="1" customWidth="1"/>
    <col min="6106" max="6354" width="9.109375" style="1"/>
    <col min="6355" max="6355" width="1.44140625" style="1" customWidth="1"/>
    <col min="6356" max="6356" width="2.109375" style="1" customWidth="1"/>
    <col min="6357" max="6357" width="16.77734375" style="1" customWidth="1"/>
    <col min="6358" max="6358" width="43.44140625" style="1" customWidth="1"/>
    <col min="6359" max="6359" width="22.44140625" style="1" customWidth="1"/>
    <col min="6360" max="6360" width="9.109375" style="1"/>
    <col min="6361" max="6361" width="13.77734375" style="1" bestFit="1" customWidth="1"/>
    <col min="6362" max="6610" width="9.109375" style="1"/>
    <col min="6611" max="6611" width="1.44140625" style="1" customWidth="1"/>
    <col min="6612" max="6612" width="2.109375" style="1" customWidth="1"/>
    <col min="6613" max="6613" width="16.77734375" style="1" customWidth="1"/>
    <col min="6614" max="6614" width="43.44140625" style="1" customWidth="1"/>
    <col min="6615" max="6615" width="22.44140625" style="1" customWidth="1"/>
    <col min="6616" max="6616" width="9.109375" style="1"/>
    <col min="6617" max="6617" width="13.77734375" style="1" bestFit="1" customWidth="1"/>
    <col min="6618" max="6866" width="9.109375" style="1"/>
    <col min="6867" max="6867" width="1.44140625" style="1" customWidth="1"/>
    <col min="6868" max="6868" width="2.109375" style="1" customWidth="1"/>
    <col min="6869" max="6869" width="16.77734375" style="1" customWidth="1"/>
    <col min="6870" max="6870" width="43.44140625" style="1" customWidth="1"/>
    <col min="6871" max="6871" width="22.44140625" style="1" customWidth="1"/>
    <col min="6872" max="6872" width="9.109375" style="1"/>
    <col min="6873" max="6873" width="13.77734375" style="1" bestFit="1" customWidth="1"/>
    <col min="6874" max="7122" width="9.109375" style="1"/>
    <col min="7123" max="7123" width="1.44140625" style="1" customWidth="1"/>
    <col min="7124" max="7124" width="2.109375" style="1" customWidth="1"/>
    <col min="7125" max="7125" width="16.77734375" style="1" customWidth="1"/>
    <col min="7126" max="7126" width="43.44140625" style="1" customWidth="1"/>
    <col min="7127" max="7127" width="22.44140625" style="1" customWidth="1"/>
    <col min="7128" max="7128" width="9.109375" style="1"/>
    <col min="7129" max="7129" width="13.77734375" style="1" bestFit="1" customWidth="1"/>
    <col min="7130" max="7378" width="9.109375" style="1"/>
    <col min="7379" max="7379" width="1.44140625" style="1" customWidth="1"/>
    <col min="7380" max="7380" width="2.109375" style="1" customWidth="1"/>
    <col min="7381" max="7381" width="16.77734375" style="1" customWidth="1"/>
    <col min="7382" max="7382" width="43.44140625" style="1" customWidth="1"/>
    <col min="7383" max="7383" width="22.44140625" style="1" customWidth="1"/>
    <col min="7384" max="7384" width="9.109375" style="1"/>
    <col min="7385" max="7385" width="13.77734375" style="1" bestFit="1" customWidth="1"/>
    <col min="7386" max="7634" width="9.109375" style="1"/>
    <col min="7635" max="7635" width="1.44140625" style="1" customWidth="1"/>
    <col min="7636" max="7636" width="2.109375" style="1" customWidth="1"/>
    <col min="7637" max="7637" width="16.77734375" style="1" customWidth="1"/>
    <col min="7638" max="7638" width="43.44140625" style="1" customWidth="1"/>
    <col min="7639" max="7639" width="22.44140625" style="1" customWidth="1"/>
    <col min="7640" max="7640" width="9.109375" style="1"/>
    <col min="7641" max="7641" width="13.77734375" style="1" bestFit="1" customWidth="1"/>
    <col min="7642" max="7890" width="9.109375" style="1"/>
    <col min="7891" max="7891" width="1.44140625" style="1" customWidth="1"/>
    <col min="7892" max="7892" width="2.109375" style="1" customWidth="1"/>
    <col min="7893" max="7893" width="16.77734375" style="1" customWidth="1"/>
    <col min="7894" max="7894" width="43.44140625" style="1" customWidth="1"/>
    <col min="7895" max="7895" width="22.44140625" style="1" customWidth="1"/>
    <col min="7896" max="7896" width="9.109375" style="1"/>
    <col min="7897" max="7897" width="13.77734375" style="1" bestFit="1" customWidth="1"/>
    <col min="7898" max="8146" width="9.109375" style="1"/>
    <col min="8147" max="8147" width="1.44140625" style="1" customWidth="1"/>
    <col min="8148" max="8148" width="2.109375" style="1" customWidth="1"/>
    <col min="8149" max="8149" width="16.77734375" style="1" customWidth="1"/>
    <col min="8150" max="8150" width="43.44140625" style="1" customWidth="1"/>
    <col min="8151" max="8151" width="22.44140625" style="1" customWidth="1"/>
    <col min="8152" max="8152" width="9.109375" style="1"/>
    <col min="8153" max="8153" width="13.77734375" style="1" bestFit="1" customWidth="1"/>
    <col min="8154" max="8402" width="9.109375" style="1"/>
    <col min="8403" max="8403" width="1.44140625" style="1" customWidth="1"/>
    <col min="8404" max="8404" width="2.109375" style="1" customWidth="1"/>
    <col min="8405" max="8405" width="16.77734375" style="1" customWidth="1"/>
    <col min="8406" max="8406" width="43.44140625" style="1" customWidth="1"/>
    <col min="8407" max="8407" width="22.44140625" style="1" customWidth="1"/>
    <col min="8408" max="8408" width="9.109375" style="1"/>
    <col min="8409" max="8409" width="13.77734375" style="1" bestFit="1" customWidth="1"/>
    <col min="8410" max="8658" width="9.109375" style="1"/>
    <col min="8659" max="8659" width="1.44140625" style="1" customWidth="1"/>
    <col min="8660" max="8660" width="2.109375" style="1" customWidth="1"/>
    <col min="8661" max="8661" width="16.77734375" style="1" customWidth="1"/>
    <col min="8662" max="8662" width="43.44140625" style="1" customWidth="1"/>
    <col min="8663" max="8663" width="22.44140625" style="1" customWidth="1"/>
    <col min="8664" max="8664" width="9.109375" style="1"/>
    <col min="8665" max="8665" width="13.77734375" style="1" bestFit="1" customWidth="1"/>
    <col min="8666" max="8914" width="9.109375" style="1"/>
    <col min="8915" max="8915" width="1.44140625" style="1" customWidth="1"/>
    <col min="8916" max="8916" width="2.109375" style="1" customWidth="1"/>
    <col min="8917" max="8917" width="16.77734375" style="1" customWidth="1"/>
    <col min="8918" max="8918" width="43.44140625" style="1" customWidth="1"/>
    <col min="8919" max="8919" width="22.44140625" style="1" customWidth="1"/>
    <col min="8920" max="8920" width="9.109375" style="1"/>
    <col min="8921" max="8921" width="13.77734375" style="1" bestFit="1" customWidth="1"/>
    <col min="8922" max="9170" width="9.109375" style="1"/>
    <col min="9171" max="9171" width="1.44140625" style="1" customWidth="1"/>
    <col min="9172" max="9172" width="2.109375" style="1" customWidth="1"/>
    <col min="9173" max="9173" width="16.77734375" style="1" customWidth="1"/>
    <col min="9174" max="9174" width="43.44140625" style="1" customWidth="1"/>
    <col min="9175" max="9175" width="22.44140625" style="1" customWidth="1"/>
    <col min="9176" max="9176" width="9.109375" style="1"/>
    <col min="9177" max="9177" width="13.77734375" style="1" bestFit="1" customWidth="1"/>
    <col min="9178" max="9426" width="9.109375" style="1"/>
    <col min="9427" max="9427" width="1.44140625" style="1" customWidth="1"/>
    <col min="9428" max="9428" width="2.109375" style="1" customWidth="1"/>
    <col min="9429" max="9429" width="16.77734375" style="1" customWidth="1"/>
    <col min="9430" max="9430" width="43.44140625" style="1" customWidth="1"/>
    <col min="9431" max="9431" width="22.44140625" style="1" customWidth="1"/>
    <col min="9432" max="9432" width="9.109375" style="1"/>
    <col min="9433" max="9433" width="13.77734375" style="1" bestFit="1" customWidth="1"/>
    <col min="9434" max="9682" width="9.109375" style="1"/>
    <col min="9683" max="9683" width="1.44140625" style="1" customWidth="1"/>
    <col min="9684" max="9684" width="2.109375" style="1" customWidth="1"/>
    <col min="9685" max="9685" width="16.77734375" style="1" customWidth="1"/>
    <col min="9686" max="9686" width="43.44140625" style="1" customWidth="1"/>
    <col min="9687" max="9687" width="22.44140625" style="1" customWidth="1"/>
    <col min="9688" max="9688" width="9.109375" style="1"/>
    <col min="9689" max="9689" width="13.77734375" style="1" bestFit="1" customWidth="1"/>
    <col min="9690" max="9938" width="9.109375" style="1"/>
    <col min="9939" max="9939" width="1.44140625" style="1" customWidth="1"/>
    <col min="9940" max="9940" width="2.109375" style="1" customWidth="1"/>
    <col min="9941" max="9941" width="16.77734375" style="1" customWidth="1"/>
    <col min="9942" max="9942" width="43.44140625" style="1" customWidth="1"/>
    <col min="9943" max="9943" width="22.44140625" style="1" customWidth="1"/>
    <col min="9944" max="9944" width="9.109375" style="1"/>
    <col min="9945" max="9945" width="13.77734375" style="1" bestFit="1" customWidth="1"/>
    <col min="9946" max="10194" width="9.109375" style="1"/>
    <col min="10195" max="10195" width="1.44140625" style="1" customWidth="1"/>
    <col min="10196" max="10196" width="2.109375" style="1" customWidth="1"/>
    <col min="10197" max="10197" width="16.77734375" style="1" customWidth="1"/>
    <col min="10198" max="10198" width="43.44140625" style="1" customWidth="1"/>
    <col min="10199" max="10199" width="22.44140625" style="1" customWidth="1"/>
    <col min="10200" max="10200" width="9.109375" style="1"/>
    <col min="10201" max="10201" width="13.77734375" style="1" bestFit="1" customWidth="1"/>
    <col min="10202" max="10450" width="9.109375" style="1"/>
    <col min="10451" max="10451" width="1.44140625" style="1" customWidth="1"/>
    <col min="10452" max="10452" width="2.109375" style="1" customWidth="1"/>
    <col min="10453" max="10453" width="16.77734375" style="1" customWidth="1"/>
    <col min="10454" max="10454" width="43.44140625" style="1" customWidth="1"/>
    <col min="10455" max="10455" width="22.44140625" style="1" customWidth="1"/>
    <col min="10456" max="10456" width="9.109375" style="1"/>
    <col min="10457" max="10457" width="13.77734375" style="1" bestFit="1" customWidth="1"/>
    <col min="10458" max="10706" width="9.109375" style="1"/>
    <col min="10707" max="10707" width="1.44140625" style="1" customWidth="1"/>
    <col min="10708" max="10708" width="2.109375" style="1" customWidth="1"/>
    <col min="10709" max="10709" width="16.77734375" style="1" customWidth="1"/>
    <col min="10710" max="10710" width="43.44140625" style="1" customWidth="1"/>
    <col min="10711" max="10711" width="22.44140625" style="1" customWidth="1"/>
    <col min="10712" max="10712" width="9.109375" style="1"/>
    <col min="10713" max="10713" width="13.77734375" style="1" bestFit="1" customWidth="1"/>
    <col min="10714" max="10962" width="9.109375" style="1"/>
    <col min="10963" max="10963" width="1.44140625" style="1" customWidth="1"/>
    <col min="10964" max="10964" width="2.109375" style="1" customWidth="1"/>
    <col min="10965" max="10965" width="16.77734375" style="1" customWidth="1"/>
    <col min="10966" max="10966" width="43.44140625" style="1" customWidth="1"/>
    <col min="10967" max="10967" width="22.44140625" style="1" customWidth="1"/>
    <col min="10968" max="10968" width="9.109375" style="1"/>
    <col min="10969" max="10969" width="13.77734375" style="1" bestFit="1" customWidth="1"/>
    <col min="10970" max="11218" width="9.109375" style="1"/>
    <col min="11219" max="11219" width="1.44140625" style="1" customWidth="1"/>
    <col min="11220" max="11220" width="2.109375" style="1" customWidth="1"/>
    <col min="11221" max="11221" width="16.77734375" style="1" customWidth="1"/>
    <col min="11222" max="11222" width="43.44140625" style="1" customWidth="1"/>
    <col min="11223" max="11223" width="22.44140625" style="1" customWidth="1"/>
    <col min="11224" max="11224" width="9.109375" style="1"/>
    <col min="11225" max="11225" width="13.77734375" style="1" bestFit="1" customWidth="1"/>
    <col min="11226" max="11474" width="9.109375" style="1"/>
    <col min="11475" max="11475" width="1.44140625" style="1" customWidth="1"/>
    <col min="11476" max="11476" width="2.109375" style="1" customWidth="1"/>
    <col min="11477" max="11477" width="16.77734375" style="1" customWidth="1"/>
    <col min="11478" max="11478" width="43.44140625" style="1" customWidth="1"/>
    <col min="11479" max="11479" width="22.44140625" style="1" customWidth="1"/>
    <col min="11480" max="11480" width="9.109375" style="1"/>
    <col min="11481" max="11481" width="13.77734375" style="1" bestFit="1" customWidth="1"/>
    <col min="11482" max="11730" width="9.109375" style="1"/>
    <col min="11731" max="11731" width="1.44140625" style="1" customWidth="1"/>
    <col min="11732" max="11732" width="2.109375" style="1" customWidth="1"/>
    <col min="11733" max="11733" width="16.77734375" style="1" customWidth="1"/>
    <col min="11734" max="11734" width="43.44140625" style="1" customWidth="1"/>
    <col min="11735" max="11735" width="22.44140625" style="1" customWidth="1"/>
    <col min="11736" max="11736" width="9.109375" style="1"/>
    <col min="11737" max="11737" width="13.77734375" style="1" bestFit="1" customWidth="1"/>
    <col min="11738" max="11986" width="9.109375" style="1"/>
    <col min="11987" max="11987" width="1.44140625" style="1" customWidth="1"/>
    <col min="11988" max="11988" width="2.109375" style="1" customWidth="1"/>
    <col min="11989" max="11989" width="16.77734375" style="1" customWidth="1"/>
    <col min="11990" max="11990" width="43.44140625" style="1" customWidth="1"/>
    <col min="11991" max="11991" width="22.44140625" style="1" customWidth="1"/>
    <col min="11992" max="11992" width="9.109375" style="1"/>
    <col min="11993" max="11993" width="13.77734375" style="1" bestFit="1" customWidth="1"/>
    <col min="11994" max="12242" width="9.109375" style="1"/>
    <col min="12243" max="12243" width="1.44140625" style="1" customWidth="1"/>
    <col min="12244" max="12244" width="2.109375" style="1" customWidth="1"/>
    <col min="12245" max="12245" width="16.77734375" style="1" customWidth="1"/>
    <col min="12246" max="12246" width="43.44140625" style="1" customWidth="1"/>
    <col min="12247" max="12247" width="22.44140625" style="1" customWidth="1"/>
    <col min="12248" max="12248" width="9.109375" style="1"/>
    <col min="12249" max="12249" width="13.77734375" style="1" bestFit="1" customWidth="1"/>
    <col min="12250" max="12498" width="9.109375" style="1"/>
    <col min="12499" max="12499" width="1.44140625" style="1" customWidth="1"/>
    <col min="12500" max="12500" width="2.109375" style="1" customWidth="1"/>
    <col min="12501" max="12501" width="16.77734375" style="1" customWidth="1"/>
    <col min="12502" max="12502" width="43.44140625" style="1" customWidth="1"/>
    <col min="12503" max="12503" width="22.44140625" style="1" customWidth="1"/>
    <col min="12504" max="12504" width="9.109375" style="1"/>
    <col min="12505" max="12505" width="13.77734375" style="1" bestFit="1" customWidth="1"/>
    <col min="12506" max="12754" width="9.109375" style="1"/>
    <col min="12755" max="12755" width="1.44140625" style="1" customWidth="1"/>
    <col min="12756" max="12756" width="2.109375" style="1" customWidth="1"/>
    <col min="12757" max="12757" width="16.77734375" style="1" customWidth="1"/>
    <col min="12758" max="12758" width="43.44140625" style="1" customWidth="1"/>
    <col min="12759" max="12759" width="22.44140625" style="1" customWidth="1"/>
    <col min="12760" max="12760" width="9.109375" style="1"/>
    <col min="12761" max="12761" width="13.77734375" style="1" bestFit="1" customWidth="1"/>
    <col min="12762" max="13010" width="9.109375" style="1"/>
    <col min="13011" max="13011" width="1.44140625" style="1" customWidth="1"/>
    <col min="13012" max="13012" width="2.109375" style="1" customWidth="1"/>
    <col min="13013" max="13013" width="16.77734375" style="1" customWidth="1"/>
    <col min="13014" max="13014" width="43.44140625" style="1" customWidth="1"/>
    <col min="13015" max="13015" width="22.44140625" style="1" customWidth="1"/>
    <col min="13016" max="13016" width="9.109375" style="1"/>
    <col min="13017" max="13017" width="13.77734375" style="1" bestFit="1" customWidth="1"/>
    <col min="13018" max="13266" width="9.109375" style="1"/>
    <col min="13267" max="13267" width="1.44140625" style="1" customWidth="1"/>
    <col min="13268" max="13268" width="2.109375" style="1" customWidth="1"/>
    <col min="13269" max="13269" width="16.77734375" style="1" customWidth="1"/>
    <col min="13270" max="13270" width="43.44140625" style="1" customWidth="1"/>
    <col min="13271" max="13271" width="22.44140625" style="1" customWidth="1"/>
    <col min="13272" max="13272" width="9.109375" style="1"/>
    <col min="13273" max="13273" width="13.77734375" style="1" bestFit="1" customWidth="1"/>
    <col min="13274" max="13522" width="9.109375" style="1"/>
    <col min="13523" max="13523" width="1.44140625" style="1" customWidth="1"/>
    <col min="13524" max="13524" width="2.109375" style="1" customWidth="1"/>
    <col min="13525" max="13525" width="16.77734375" style="1" customWidth="1"/>
    <col min="13526" max="13526" width="43.44140625" style="1" customWidth="1"/>
    <col min="13527" max="13527" width="22.44140625" style="1" customWidth="1"/>
    <col min="13528" max="13528" width="9.109375" style="1"/>
    <col min="13529" max="13529" width="13.77734375" style="1" bestFit="1" customWidth="1"/>
    <col min="13530" max="13778" width="9.109375" style="1"/>
    <col min="13779" max="13779" width="1.44140625" style="1" customWidth="1"/>
    <col min="13780" max="13780" width="2.109375" style="1" customWidth="1"/>
    <col min="13781" max="13781" width="16.77734375" style="1" customWidth="1"/>
    <col min="13782" max="13782" width="43.44140625" style="1" customWidth="1"/>
    <col min="13783" max="13783" width="22.44140625" style="1" customWidth="1"/>
    <col min="13784" max="13784" width="9.109375" style="1"/>
    <col min="13785" max="13785" width="13.77734375" style="1" bestFit="1" customWidth="1"/>
    <col min="13786" max="14034" width="9.109375" style="1"/>
    <col min="14035" max="14035" width="1.44140625" style="1" customWidth="1"/>
    <col min="14036" max="14036" width="2.109375" style="1" customWidth="1"/>
    <col min="14037" max="14037" width="16.77734375" style="1" customWidth="1"/>
    <col min="14038" max="14038" width="43.44140625" style="1" customWidth="1"/>
    <col min="14039" max="14039" width="22.44140625" style="1" customWidth="1"/>
    <col min="14040" max="14040" width="9.109375" style="1"/>
    <col min="14041" max="14041" width="13.77734375" style="1" bestFit="1" customWidth="1"/>
    <col min="14042" max="14290" width="9.109375" style="1"/>
    <col min="14291" max="14291" width="1.44140625" style="1" customWidth="1"/>
    <col min="14292" max="14292" width="2.109375" style="1" customWidth="1"/>
    <col min="14293" max="14293" width="16.77734375" style="1" customWidth="1"/>
    <col min="14294" max="14294" width="43.44140625" style="1" customWidth="1"/>
    <col min="14295" max="14295" width="22.44140625" style="1" customWidth="1"/>
    <col min="14296" max="14296" width="9.109375" style="1"/>
    <col min="14297" max="14297" width="13.77734375" style="1" bestFit="1" customWidth="1"/>
    <col min="14298" max="14546" width="9.109375" style="1"/>
    <col min="14547" max="14547" width="1.44140625" style="1" customWidth="1"/>
    <col min="14548" max="14548" width="2.109375" style="1" customWidth="1"/>
    <col min="14549" max="14549" width="16.77734375" style="1" customWidth="1"/>
    <col min="14550" max="14550" width="43.44140625" style="1" customWidth="1"/>
    <col min="14551" max="14551" width="22.44140625" style="1" customWidth="1"/>
    <col min="14552" max="14552" width="9.109375" style="1"/>
    <col min="14553" max="14553" width="13.77734375" style="1" bestFit="1" customWidth="1"/>
    <col min="14554" max="14802" width="9.109375" style="1"/>
    <col min="14803" max="14803" width="1.44140625" style="1" customWidth="1"/>
    <col min="14804" max="14804" width="2.109375" style="1" customWidth="1"/>
    <col min="14805" max="14805" width="16.77734375" style="1" customWidth="1"/>
    <col min="14806" max="14806" width="43.44140625" style="1" customWidth="1"/>
    <col min="14807" max="14807" width="22.44140625" style="1" customWidth="1"/>
    <col min="14808" max="14808" width="9.109375" style="1"/>
    <col min="14809" max="14809" width="13.77734375" style="1" bestFit="1" customWidth="1"/>
    <col min="14810" max="15058" width="9.109375" style="1"/>
    <col min="15059" max="15059" width="1.44140625" style="1" customWidth="1"/>
    <col min="15060" max="15060" width="2.109375" style="1" customWidth="1"/>
    <col min="15061" max="15061" width="16.77734375" style="1" customWidth="1"/>
    <col min="15062" max="15062" width="43.44140625" style="1" customWidth="1"/>
    <col min="15063" max="15063" width="22.44140625" style="1" customWidth="1"/>
    <col min="15064" max="15064" width="9.109375" style="1"/>
    <col min="15065" max="15065" width="13.77734375" style="1" bestFit="1" customWidth="1"/>
    <col min="15066" max="15314" width="9.109375" style="1"/>
    <col min="15315" max="15315" width="1.44140625" style="1" customWidth="1"/>
    <col min="15316" max="15316" width="2.109375" style="1" customWidth="1"/>
    <col min="15317" max="15317" width="16.77734375" style="1" customWidth="1"/>
    <col min="15318" max="15318" width="43.44140625" style="1" customWidth="1"/>
    <col min="15319" max="15319" width="22.44140625" style="1" customWidth="1"/>
    <col min="15320" max="15320" width="9.109375" style="1"/>
    <col min="15321" max="15321" width="13.77734375" style="1" bestFit="1" customWidth="1"/>
    <col min="15322" max="15570" width="9.109375" style="1"/>
    <col min="15571" max="15571" width="1.44140625" style="1" customWidth="1"/>
    <col min="15572" max="15572" width="2.109375" style="1" customWidth="1"/>
    <col min="15573" max="15573" width="16.77734375" style="1" customWidth="1"/>
    <col min="15574" max="15574" width="43.44140625" style="1" customWidth="1"/>
    <col min="15575" max="15575" width="22.44140625" style="1" customWidth="1"/>
    <col min="15576" max="15576" width="9.109375" style="1"/>
    <col min="15577" max="15577" width="13.77734375" style="1" bestFit="1" customWidth="1"/>
    <col min="15578" max="15826" width="9.109375" style="1"/>
    <col min="15827" max="15827" width="1.44140625" style="1" customWidth="1"/>
    <col min="15828" max="15828" width="2.109375" style="1" customWidth="1"/>
    <col min="15829" max="15829" width="16.77734375" style="1" customWidth="1"/>
    <col min="15830" max="15830" width="43.44140625" style="1" customWidth="1"/>
    <col min="15831" max="15831" width="22.44140625" style="1" customWidth="1"/>
    <col min="15832" max="15832" width="9.109375" style="1"/>
    <col min="15833" max="15833" width="13.77734375" style="1" bestFit="1" customWidth="1"/>
    <col min="15834" max="16082" width="9.109375" style="1"/>
    <col min="16083" max="16083" width="1.44140625" style="1" customWidth="1"/>
    <col min="16084" max="16084" width="2.109375" style="1" customWidth="1"/>
    <col min="16085" max="16085" width="16.77734375" style="1" customWidth="1"/>
    <col min="16086" max="16086" width="43.44140625" style="1" customWidth="1"/>
    <col min="16087" max="16087" width="22.44140625" style="1" customWidth="1"/>
    <col min="16088" max="16088" width="9.109375" style="1"/>
    <col min="16089" max="16089" width="13.77734375" style="1" bestFit="1" customWidth="1"/>
    <col min="16090" max="16384" width="9.10937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32" t="s">
        <v>1</v>
      </c>
      <c r="C4" s="232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33" t="s">
        <v>3</v>
      </c>
      <c r="C8" s="233"/>
    </row>
    <row r="11" spans="1:3" x14ac:dyDescent="0.2">
      <c r="B11" s="2" t="s">
        <v>4</v>
      </c>
    </row>
    <row r="12" spans="1:3" x14ac:dyDescent="0.2">
      <c r="B12" s="81" t="s">
        <v>52</v>
      </c>
    </row>
    <row r="13" spans="1:3" x14ac:dyDescent="0.2">
      <c r="A13" s="4" t="s">
        <v>5</v>
      </c>
      <c r="B13" s="74" t="s">
        <v>55</v>
      </c>
      <c r="C13" s="74"/>
    </row>
    <row r="14" spans="1:3" ht="20.399999999999999" x14ac:dyDescent="0.2">
      <c r="A14" s="4" t="s">
        <v>6</v>
      </c>
      <c r="B14" s="74" t="s">
        <v>56</v>
      </c>
      <c r="C14" s="74"/>
    </row>
    <row r="15" spans="1:3" ht="20.399999999999999" x14ac:dyDescent="0.2">
      <c r="A15" s="4" t="s">
        <v>7</v>
      </c>
      <c r="B15" s="73" t="s">
        <v>57</v>
      </c>
      <c r="C15" s="73"/>
    </row>
    <row r="16" spans="1:3" x14ac:dyDescent="0.2">
      <c r="A16" s="4" t="s">
        <v>8</v>
      </c>
      <c r="B16" s="72"/>
      <c r="C16" s="72"/>
    </row>
    <row r="17" spans="1:3" ht="10.8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76"/>
      <c r="B19" s="8" t="s">
        <v>56</v>
      </c>
      <c r="C19" s="9">
        <f>'Kops a'!E27</f>
        <v>0</v>
      </c>
    </row>
    <row r="20" spans="1:3" x14ac:dyDescent="0.2">
      <c r="A20" s="77"/>
      <c r="B20" s="78"/>
      <c r="C20" s="10"/>
    </row>
    <row r="21" spans="1:3" x14ac:dyDescent="0.2">
      <c r="A21" s="79"/>
      <c r="B21" s="8"/>
      <c r="C21" s="10"/>
    </row>
    <row r="22" spans="1:3" x14ac:dyDescent="0.2">
      <c r="A22" s="79"/>
      <c r="B22" s="8"/>
      <c r="C22" s="10"/>
    </row>
    <row r="23" spans="1:3" x14ac:dyDescent="0.2">
      <c r="A23" s="79"/>
      <c r="B23" s="8"/>
      <c r="C23" s="10"/>
    </row>
    <row r="24" spans="1:3" x14ac:dyDescent="0.2">
      <c r="A24" s="79"/>
      <c r="B24" s="8"/>
      <c r="C24" s="10"/>
    </row>
    <row r="25" spans="1:3" ht="10.8" thickBot="1" x14ac:dyDescent="0.25">
      <c r="A25" s="80"/>
      <c r="B25" s="50"/>
      <c r="C25" s="51"/>
    </row>
    <row r="26" spans="1:3" ht="10.8" thickBot="1" x14ac:dyDescent="0.25">
      <c r="A26" s="11"/>
      <c r="B26" s="12" t="s">
        <v>12</v>
      </c>
      <c r="C26" s="13">
        <f>SUM(C19:C25)</f>
        <v>0</v>
      </c>
    </row>
    <row r="27" spans="1:3" ht="10.8" thickBot="1" x14ac:dyDescent="0.25">
      <c r="B27" s="14"/>
      <c r="C27" s="15"/>
    </row>
    <row r="28" spans="1:3" ht="10.8" thickBot="1" x14ac:dyDescent="0.25">
      <c r="A28" s="234" t="s">
        <v>13</v>
      </c>
      <c r="B28" s="235"/>
      <c r="C28" s="16">
        <f>ROUND(C26*21%,2)</f>
        <v>0</v>
      </c>
    </row>
    <row r="31" spans="1:3" x14ac:dyDescent="0.2">
      <c r="A31" s="1" t="s">
        <v>14</v>
      </c>
      <c r="B31" s="236"/>
      <c r="C31" s="236"/>
    </row>
    <row r="32" spans="1:3" x14ac:dyDescent="0.2">
      <c r="B32" s="231" t="s">
        <v>15</v>
      </c>
      <c r="C32" s="231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347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71" priority="9" operator="equal">
      <formula>0</formula>
    </cfRule>
  </conditionalFormatting>
  <conditionalFormatting sqref="B13:B16">
    <cfRule type="cellIs" dxfId="170" priority="8" operator="equal">
      <formula>0</formula>
    </cfRule>
  </conditionalFormatting>
  <conditionalFormatting sqref="B19">
    <cfRule type="cellIs" dxfId="169" priority="7" operator="equal">
      <formula>0</formula>
    </cfRule>
  </conditionalFormatting>
  <conditionalFormatting sqref="B34">
    <cfRule type="cellIs" dxfId="168" priority="5" operator="equal">
      <formula>0</formula>
    </cfRule>
  </conditionalFormatting>
  <conditionalFormatting sqref="B31:C31">
    <cfRule type="cellIs" dxfId="167" priority="3" operator="equal">
      <formula>0</formula>
    </cfRule>
  </conditionalFormatting>
  <conditionalFormatting sqref="A19">
    <cfRule type="cellIs" dxfId="166" priority="2" operator="equal">
      <formula>0</formula>
    </cfRule>
  </conditionalFormatting>
  <conditionalFormatting sqref="A36">
    <cfRule type="containsText" dxfId="165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>
    <pageSetUpPr fitToPage="1"/>
  </sheetPr>
  <dimension ref="A1:I50"/>
  <sheetViews>
    <sheetView topLeftCell="A10" workbookViewId="0">
      <selection activeCell="L19" sqref="L19"/>
    </sheetView>
  </sheetViews>
  <sheetFormatPr defaultColWidth="3.6640625" defaultRowHeight="10.199999999999999" x14ac:dyDescent="0.2"/>
  <cols>
    <col min="1" max="1" width="4" style="1" customWidth="1"/>
    <col min="2" max="2" width="5.33203125" style="1" customWidth="1"/>
    <col min="3" max="3" width="28.44140625" style="1" customWidth="1"/>
    <col min="4" max="4" width="6.77734375" style="1" customWidth="1"/>
    <col min="5" max="5" width="11.77734375" style="1" customWidth="1"/>
    <col min="6" max="6" width="9.77734375" style="1" customWidth="1"/>
    <col min="7" max="7" width="10" style="1" customWidth="1"/>
    <col min="8" max="8" width="8.6640625" style="1" customWidth="1"/>
    <col min="9" max="188" width="9.109375" style="1" customWidth="1"/>
    <col min="189" max="189" width="3.6640625" style="1"/>
    <col min="190" max="190" width="4.44140625" style="1" customWidth="1"/>
    <col min="191" max="191" width="5.77734375" style="1" customWidth="1"/>
    <col min="192" max="192" width="36" style="1" customWidth="1"/>
    <col min="193" max="193" width="9.6640625" style="1" customWidth="1"/>
    <col min="194" max="194" width="11.77734375" style="1" customWidth="1"/>
    <col min="195" max="195" width="9" style="1" customWidth="1"/>
    <col min="196" max="196" width="9.6640625" style="1" customWidth="1"/>
    <col min="197" max="197" width="9.33203125" style="1" customWidth="1"/>
    <col min="198" max="198" width="8.6640625" style="1" customWidth="1"/>
    <col min="199" max="199" width="6.77734375" style="1" customWidth="1"/>
    <col min="200" max="444" width="9.109375" style="1" customWidth="1"/>
    <col min="445" max="445" width="3.6640625" style="1"/>
    <col min="446" max="446" width="4.44140625" style="1" customWidth="1"/>
    <col min="447" max="447" width="5.77734375" style="1" customWidth="1"/>
    <col min="448" max="448" width="36" style="1" customWidth="1"/>
    <col min="449" max="449" width="9.6640625" style="1" customWidth="1"/>
    <col min="450" max="450" width="11.77734375" style="1" customWidth="1"/>
    <col min="451" max="451" width="9" style="1" customWidth="1"/>
    <col min="452" max="452" width="9.6640625" style="1" customWidth="1"/>
    <col min="453" max="453" width="9.33203125" style="1" customWidth="1"/>
    <col min="454" max="454" width="8.6640625" style="1" customWidth="1"/>
    <col min="455" max="455" width="6.77734375" style="1" customWidth="1"/>
    <col min="456" max="700" width="9.109375" style="1" customWidth="1"/>
    <col min="701" max="701" width="3.6640625" style="1"/>
    <col min="702" max="702" width="4.44140625" style="1" customWidth="1"/>
    <col min="703" max="703" width="5.77734375" style="1" customWidth="1"/>
    <col min="704" max="704" width="36" style="1" customWidth="1"/>
    <col min="705" max="705" width="9.6640625" style="1" customWidth="1"/>
    <col min="706" max="706" width="11.77734375" style="1" customWidth="1"/>
    <col min="707" max="707" width="9" style="1" customWidth="1"/>
    <col min="708" max="708" width="9.6640625" style="1" customWidth="1"/>
    <col min="709" max="709" width="9.33203125" style="1" customWidth="1"/>
    <col min="710" max="710" width="8.6640625" style="1" customWidth="1"/>
    <col min="711" max="711" width="6.77734375" style="1" customWidth="1"/>
    <col min="712" max="956" width="9.109375" style="1" customWidth="1"/>
    <col min="957" max="957" width="3.6640625" style="1"/>
    <col min="958" max="958" width="4.44140625" style="1" customWidth="1"/>
    <col min="959" max="959" width="5.77734375" style="1" customWidth="1"/>
    <col min="960" max="960" width="36" style="1" customWidth="1"/>
    <col min="961" max="961" width="9.6640625" style="1" customWidth="1"/>
    <col min="962" max="962" width="11.77734375" style="1" customWidth="1"/>
    <col min="963" max="963" width="9" style="1" customWidth="1"/>
    <col min="964" max="964" width="9.6640625" style="1" customWidth="1"/>
    <col min="965" max="965" width="9.33203125" style="1" customWidth="1"/>
    <col min="966" max="966" width="8.6640625" style="1" customWidth="1"/>
    <col min="967" max="967" width="6.77734375" style="1" customWidth="1"/>
    <col min="968" max="1212" width="9.109375" style="1" customWidth="1"/>
    <col min="1213" max="1213" width="3.6640625" style="1"/>
    <col min="1214" max="1214" width="4.44140625" style="1" customWidth="1"/>
    <col min="1215" max="1215" width="5.77734375" style="1" customWidth="1"/>
    <col min="1216" max="1216" width="36" style="1" customWidth="1"/>
    <col min="1217" max="1217" width="9.6640625" style="1" customWidth="1"/>
    <col min="1218" max="1218" width="11.77734375" style="1" customWidth="1"/>
    <col min="1219" max="1219" width="9" style="1" customWidth="1"/>
    <col min="1220" max="1220" width="9.6640625" style="1" customWidth="1"/>
    <col min="1221" max="1221" width="9.33203125" style="1" customWidth="1"/>
    <col min="1222" max="1222" width="8.6640625" style="1" customWidth="1"/>
    <col min="1223" max="1223" width="6.77734375" style="1" customWidth="1"/>
    <col min="1224" max="1468" width="9.109375" style="1" customWidth="1"/>
    <col min="1469" max="1469" width="3.6640625" style="1"/>
    <col min="1470" max="1470" width="4.44140625" style="1" customWidth="1"/>
    <col min="1471" max="1471" width="5.77734375" style="1" customWidth="1"/>
    <col min="1472" max="1472" width="36" style="1" customWidth="1"/>
    <col min="1473" max="1473" width="9.6640625" style="1" customWidth="1"/>
    <col min="1474" max="1474" width="11.77734375" style="1" customWidth="1"/>
    <col min="1475" max="1475" width="9" style="1" customWidth="1"/>
    <col min="1476" max="1476" width="9.6640625" style="1" customWidth="1"/>
    <col min="1477" max="1477" width="9.33203125" style="1" customWidth="1"/>
    <col min="1478" max="1478" width="8.6640625" style="1" customWidth="1"/>
    <col min="1479" max="1479" width="6.77734375" style="1" customWidth="1"/>
    <col min="1480" max="1724" width="9.109375" style="1" customWidth="1"/>
    <col min="1725" max="1725" width="3.6640625" style="1"/>
    <col min="1726" max="1726" width="4.44140625" style="1" customWidth="1"/>
    <col min="1727" max="1727" width="5.77734375" style="1" customWidth="1"/>
    <col min="1728" max="1728" width="36" style="1" customWidth="1"/>
    <col min="1729" max="1729" width="9.6640625" style="1" customWidth="1"/>
    <col min="1730" max="1730" width="11.77734375" style="1" customWidth="1"/>
    <col min="1731" max="1731" width="9" style="1" customWidth="1"/>
    <col min="1732" max="1732" width="9.6640625" style="1" customWidth="1"/>
    <col min="1733" max="1733" width="9.33203125" style="1" customWidth="1"/>
    <col min="1734" max="1734" width="8.6640625" style="1" customWidth="1"/>
    <col min="1735" max="1735" width="6.77734375" style="1" customWidth="1"/>
    <col min="1736" max="1980" width="9.109375" style="1" customWidth="1"/>
    <col min="1981" max="1981" width="3.6640625" style="1"/>
    <col min="1982" max="1982" width="4.44140625" style="1" customWidth="1"/>
    <col min="1983" max="1983" width="5.77734375" style="1" customWidth="1"/>
    <col min="1984" max="1984" width="36" style="1" customWidth="1"/>
    <col min="1985" max="1985" width="9.6640625" style="1" customWidth="1"/>
    <col min="1986" max="1986" width="11.77734375" style="1" customWidth="1"/>
    <col min="1987" max="1987" width="9" style="1" customWidth="1"/>
    <col min="1988" max="1988" width="9.6640625" style="1" customWidth="1"/>
    <col min="1989" max="1989" width="9.33203125" style="1" customWidth="1"/>
    <col min="1990" max="1990" width="8.6640625" style="1" customWidth="1"/>
    <col min="1991" max="1991" width="6.77734375" style="1" customWidth="1"/>
    <col min="1992" max="2236" width="9.109375" style="1" customWidth="1"/>
    <col min="2237" max="2237" width="3.6640625" style="1"/>
    <col min="2238" max="2238" width="4.44140625" style="1" customWidth="1"/>
    <col min="2239" max="2239" width="5.77734375" style="1" customWidth="1"/>
    <col min="2240" max="2240" width="36" style="1" customWidth="1"/>
    <col min="2241" max="2241" width="9.6640625" style="1" customWidth="1"/>
    <col min="2242" max="2242" width="11.77734375" style="1" customWidth="1"/>
    <col min="2243" max="2243" width="9" style="1" customWidth="1"/>
    <col min="2244" max="2244" width="9.6640625" style="1" customWidth="1"/>
    <col min="2245" max="2245" width="9.33203125" style="1" customWidth="1"/>
    <col min="2246" max="2246" width="8.6640625" style="1" customWidth="1"/>
    <col min="2247" max="2247" width="6.77734375" style="1" customWidth="1"/>
    <col min="2248" max="2492" width="9.109375" style="1" customWidth="1"/>
    <col min="2493" max="2493" width="3.6640625" style="1"/>
    <col min="2494" max="2494" width="4.44140625" style="1" customWidth="1"/>
    <col min="2495" max="2495" width="5.77734375" style="1" customWidth="1"/>
    <col min="2496" max="2496" width="36" style="1" customWidth="1"/>
    <col min="2497" max="2497" width="9.6640625" style="1" customWidth="1"/>
    <col min="2498" max="2498" width="11.77734375" style="1" customWidth="1"/>
    <col min="2499" max="2499" width="9" style="1" customWidth="1"/>
    <col min="2500" max="2500" width="9.6640625" style="1" customWidth="1"/>
    <col min="2501" max="2501" width="9.33203125" style="1" customWidth="1"/>
    <col min="2502" max="2502" width="8.6640625" style="1" customWidth="1"/>
    <col min="2503" max="2503" width="6.77734375" style="1" customWidth="1"/>
    <col min="2504" max="2748" width="9.109375" style="1" customWidth="1"/>
    <col min="2749" max="2749" width="3.6640625" style="1"/>
    <col min="2750" max="2750" width="4.44140625" style="1" customWidth="1"/>
    <col min="2751" max="2751" width="5.77734375" style="1" customWidth="1"/>
    <col min="2752" max="2752" width="36" style="1" customWidth="1"/>
    <col min="2753" max="2753" width="9.6640625" style="1" customWidth="1"/>
    <col min="2754" max="2754" width="11.77734375" style="1" customWidth="1"/>
    <col min="2755" max="2755" width="9" style="1" customWidth="1"/>
    <col min="2756" max="2756" width="9.6640625" style="1" customWidth="1"/>
    <col min="2757" max="2757" width="9.33203125" style="1" customWidth="1"/>
    <col min="2758" max="2758" width="8.6640625" style="1" customWidth="1"/>
    <col min="2759" max="2759" width="6.77734375" style="1" customWidth="1"/>
    <col min="2760" max="3004" width="9.109375" style="1" customWidth="1"/>
    <col min="3005" max="3005" width="3.6640625" style="1"/>
    <col min="3006" max="3006" width="4.44140625" style="1" customWidth="1"/>
    <col min="3007" max="3007" width="5.77734375" style="1" customWidth="1"/>
    <col min="3008" max="3008" width="36" style="1" customWidth="1"/>
    <col min="3009" max="3009" width="9.6640625" style="1" customWidth="1"/>
    <col min="3010" max="3010" width="11.77734375" style="1" customWidth="1"/>
    <col min="3011" max="3011" width="9" style="1" customWidth="1"/>
    <col min="3012" max="3012" width="9.6640625" style="1" customWidth="1"/>
    <col min="3013" max="3013" width="9.33203125" style="1" customWidth="1"/>
    <col min="3014" max="3014" width="8.6640625" style="1" customWidth="1"/>
    <col min="3015" max="3015" width="6.77734375" style="1" customWidth="1"/>
    <col min="3016" max="3260" width="9.109375" style="1" customWidth="1"/>
    <col min="3261" max="3261" width="3.6640625" style="1"/>
    <col min="3262" max="3262" width="4.44140625" style="1" customWidth="1"/>
    <col min="3263" max="3263" width="5.77734375" style="1" customWidth="1"/>
    <col min="3264" max="3264" width="36" style="1" customWidth="1"/>
    <col min="3265" max="3265" width="9.6640625" style="1" customWidth="1"/>
    <col min="3266" max="3266" width="11.77734375" style="1" customWidth="1"/>
    <col min="3267" max="3267" width="9" style="1" customWidth="1"/>
    <col min="3268" max="3268" width="9.6640625" style="1" customWidth="1"/>
    <col min="3269" max="3269" width="9.33203125" style="1" customWidth="1"/>
    <col min="3270" max="3270" width="8.6640625" style="1" customWidth="1"/>
    <col min="3271" max="3271" width="6.77734375" style="1" customWidth="1"/>
    <col min="3272" max="3516" width="9.109375" style="1" customWidth="1"/>
    <col min="3517" max="3517" width="3.6640625" style="1"/>
    <col min="3518" max="3518" width="4.44140625" style="1" customWidth="1"/>
    <col min="3519" max="3519" width="5.77734375" style="1" customWidth="1"/>
    <col min="3520" max="3520" width="36" style="1" customWidth="1"/>
    <col min="3521" max="3521" width="9.6640625" style="1" customWidth="1"/>
    <col min="3522" max="3522" width="11.77734375" style="1" customWidth="1"/>
    <col min="3523" max="3523" width="9" style="1" customWidth="1"/>
    <col min="3524" max="3524" width="9.6640625" style="1" customWidth="1"/>
    <col min="3525" max="3525" width="9.33203125" style="1" customWidth="1"/>
    <col min="3526" max="3526" width="8.6640625" style="1" customWidth="1"/>
    <col min="3527" max="3527" width="6.77734375" style="1" customWidth="1"/>
    <col min="3528" max="3772" width="9.109375" style="1" customWidth="1"/>
    <col min="3773" max="3773" width="3.6640625" style="1"/>
    <col min="3774" max="3774" width="4.44140625" style="1" customWidth="1"/>
    <col min="3775" max="3775" width="5.77734375" style="1" customWidth="1"/>
    <col min="3776" max="3776" width="36" style="1" customWidth="1"/>
    <col min="3777" max="3777" width="9.6640625" style="1" customWidth="1"/>
    <col min="3778" max="3778" width="11.77734375" style="1" customWidth="1"/>
    <col min="3779" max="3779" width="9" style="1" customWidth="1"/>
    <col min="3780" max="3780" width="9.6640625" style="1" customWidth="1"/>
    <col min="3781" max="3781" width="9.33203125" style="1" customWidth="1"/>
    <col min="3782" max="3782" width="8.6640625" style="1" customWidth="1"/>
    <col min="3783" max="3783" width="6.77734375" style="1" customWidth="1"/>
    <col min="3784" max="4028" width="9.109375" style="1" customWidth="1"/>
    <col min="4029" max="4029" width="3.6640625" style="1"/>
    <col min="4030" max="4030" width="4.44140625" style="1" customWidth="1"/>
    <col min="4031" max="4031" width="5.77734375" style="1" customWidth="1"/>
    <col min="4032" max="4032" width="36" style="1" customWidth="1"/>
    <col min="4033" max="4033" width="9.6640625" style="1" customWidth="1"/>
    <col min="4034" max="4034" width="11.77734375" style="1" customWidth="1"/>
    <col min="4035" max="4035" width="9" style="1" customWidth="1"/>
    <col min="4036" max="4036" width="9.6640625" style="1" customWidth="1"/>
    <col min="4037" max="4037" width="9.33203125" style="1" customWidth="1"/>
    <col min="4038" max="4038" width="8.6640625" style="1" customWidth="1"/>
    <col min="4039" max="4039" width="6.77734375" style="1" customWidth="1"/>
    <col min="4040" max="4284" width="9.109375" style="1" customWidth="1"/>
    <col min="4285" max="4285" width="3.6640625" style="1"/>
    <col min="4286" max="4286" width="4.44140625" style="1" customWidth="1"/>
    <col min="4287" max="4287" width="5.77734375" style="1" customWidth="1"/>
    <col min="4288" max="4288" width="36" style="1" customWidth="1"/>
    <col min="4289" max="4289" width="9.6640625" style="1" customWidth="1"/>
    <col min="4290" max="4290" width="11.77734375" style="1" customWidth="1"/>
    <col min="4291" max="4291" width="9" style="1" customWidth="1"/>
    <col min="4292" max="4292" width="9.6640625" style="1" customWidth="1"/>
    <col min="4293" max="4293" width="9.33203125" style="1" customWidth="1"/>
    <col min="4294" max="4294" width="8.6640625" style="1" customWidth="1"/>
    <col min="4295" max="4295" width="6.77734375" style="1" customWidth="1"/>
    <col min="4296" max="4540" width="9.109375" style="1" customWidth="1"/>
    <col min="4541" max="4541" width="3.6640625" style="1"/>
    <col min="4542" max="4542" width="4.44140625" style="1" customWidth="1"/>
    <col min="4543" max="4543" width="5.77734375" style="1" customWidth="1"/>
    <col min="4544" max="4544" width="36" style="1" customWidth="1"/>
    <col min="4545" max="4545" width="9.6640625" style="1" customWidth="1"/>
    <col min="4546" max="4546" width="11.77734375" style="1" customWidth="1"/>
    <col min="4547" max="4547" width="9" style="1" customWidth="1"/>
    <col min="4548" max="4548" width="9.6640625" style="1" customWidth="1"/>
    <col min="4549" max="4549" width="9.33203125" style="1" customWidth="1"/>
    <col min="4550" max="4550" width="8.6640625" style="1" customWidth="1"/>
    <col min="4551" max="4551" width="6.77734375" style="1" customWidth="1"/>
    <col min="4552" max="4796" width="9.109375" style="1" customWidth="1"/>
    <col min="4797" max="4797" width="3.6640625" style="1"/>
    <col min="4798" max="4798" width="4.44140625" style="1" customWidth="1"/>
    <col min="4799" max="4799" width="5.77734375" style="1" customWidth="1"/>
    <col min="4800" max="4800" width="36" style="1" customWidth="1"/>
    <col min="4801" max="4801" width="9.6640625" style="1" customWidth="1"/>
    <col min="4802" max="4802" width="11.77734375" style="1" customWidth="1"/>
    <col min="4803" max="4803" width="9" style="1" customWidth="1"/>
    <col min="4804" max="4804" width="9.6640625" style="1" customWidth="1"/>
    <col min="4805" max="4805" width="9.33203125" style="1" customWidth="1"/>
    <col min="4806" max="4806" width="8.6640625" style="1" customWidth="1"/>
    <col min="4807" max="4807" width="6.77734375" style="1" customWidth="1"/>
    <col min="4808" max="5052" width="9.109375" style="1" customWidth="1"/>
    <col min="5053" max="5053" width="3.6640625" style="1"/>
    <col min="5054" max="5054" width="4.44140625" style="1" customWidth="1"/>
    <col min="5055" max="5055" width="5.77734375" style="1" customWidth="1"/>
    <col min="5056" max="5056" width="36" style="1" customWidth="1"/>
    <col min="5057" max="5057" width="9.6640625" style="1" customWidth="1"/>
    <col min="5058" max="5058" width="11.77734375" style="1" customWidth="1"/>
    <col min="5059" max="5059" width="9" style="1" customWidth="1"/>
    <col min="5060" max="5060" width="9.6640625" style="1" customWidth="1"/>
    <col min="5061" max="5061" width="9.33203125" style="1" customWidth="1"/>
    <col min="5062" max="5062" width="8.6640625" style="1" customWidth="1"/>
    <col min="5063" max="5063" width="6.77734375" style="1" customWidth="1"/>
    <col min="5064" max="5308" width="9.109375" style="1" customWidth="1"/>
    <col min="5309" max="5309" width="3.6640625" style="1"/>
    <col min="5310" max="5310" width="4.44140625" style="1" customWidth="1"/>
    <col min="5311" max="5311" width="5.77734375" style="1" customWidth="1"/>
    <col min="5312" max="5312" width="36" style="1" customWidth="1"/>
    <col min="5313" max="5313" width="9.6640625" style="1" customWidth="1"/>
    <col min="5314" max="5314" width="11.77734375" style="1" customWidth="1"/>
    <col min="5315" max="5315" width="9" style="1" customWidth="1"/>
    <col min="5316" max="5316" width="9.6640625" style="1" customWidth="1"/>
    <col min="5317" max="5317" width="9.33203125" style="1" customWidth="1"/>
    <col min="5318" max="5318" width="8.6640625" style="1" customWidth="1"/>
    <col min="5319" max="5319" width="6.77734375" style="1" customWidth="1"/>
    <col min="5320" max="5564" width="9.109375" style="1" customWidth="1"/>
    <col min="5565" max="5565" width="3.6640625" style="1"/>
    <col min="5566" max="5566" width="4.44140625" style="1" customWidth="1"/>
    <col min="5567" max="5567" width="5.77734375" style="1" customWidth="1"/>
    <col min="5568" max="5568" width="36" style="1" customWidth="1"/>
    <col min="5569" max="5569" width="9.6640625" style="1" customWidth="1"/>
    <col min="5570" max="5570" width="11.77734375" style="1" customWidth="1"/>
    <col min="5571" max="5571" width="9" style="1" customWidth="1"/>
    <col min="5572" max="5572" width="9.6640625" style="1" customWidth="1"/>
    <col min="5573" max="5573" width="9.33203125" style="1" customWidth="1"/>
    <col min="5574" max="5574" width="8.6640625" style="1" customWidth="1"/>
    <col min="5575" max="5575" width="6.77734375" style="1" customWidth="1"/>
    <col min="5576" max="5820" width="9.109375" style="1" customWidth="1"/>
    <col min="5821" max="5821" width="3.6640625" style="1"/>
    <col min="5822" max="5822" width="4.44140625" style="1" customWidth="1"/>
    <col min="5823" max="5823" width="5.77734375" style="1" customWidth="1"/>
    <col min="5824" max="5824" width="36" style="1" customWidth="1"/>
    <col min="5825" max="5825" width="9.6640625" style="1" customWidth="1"/>
    <col min="5826" max="5826" width="11.77734375" style="1" customWidth="1"/>
    <col min="5827" max="5827" width="9" style="1" customWidth="1"/>
    <col min="5828" max="5828" width="9.6640625" style="1" customWidth="1"/>
    <col min="5829" max="5829" width="9.33203125" style="1" customWidth="1"/>
    <col min="5830" max="5830" width="8.6640625" style="1" customWidth="1"/>
    <col min="5831" max="5831" width="6.77734375" style="1" customWidth="1"/>
    <col min="5832" max="6076" width="9.109375" style="1" customWidth="1"/>
    <col min="6077" max="6077" width="3.6640625" style="1"/>
    <col min="6078" max="6078" width="4.44140625" style="1" customWidth="1"/>
    <col min="6079" max="6079" width="5.77734375" style="1" customWidth="1"/>
    <col min="6080" max="6080" width="36" style="1" customWidth="1"/>
    <col min="6081" max="6081" width="9.6640625" style="1" customWidth="1"/>
    <col min="6082" max="6082" width="11.77734375" style="1" customWidth="1"/>
    <col min="6083" max="6083" width="9" style="1" customWidth="1"/>
    <col min="6084" max="6084" width="9.6640625" style="1" customWidth="1"/>
    <col min="6085" max="6085" width="9.33203125" style="1" customWidth="1"/>
    <col min="6086" max="6086" width="8.6640625" style="1" customWidth="1"/>
    <col min="6087" max="6087" width="6.77734375" style="1" customWidth="1"/>
    <col min="6088" max="6332" width="9.109375" style="1" customWidth="1"/>
    <col min="6333" max="6333" width="3.6640625" style="1"/>
    <col min="6334" max="6334" width="4.44140625" style="1" customWidth="1"/>
    <col min="6335" max="6335" width="5.77734375" style="1" customWidth="1"/>
    <col min="6336" max="6336" width="36" style="1" customWidth="1"/>
    <col min="6337" max="6337" width="9.6640625" style="1" customWidth="1"/>
    <col min="6338" max="6338" width="11.77734375" style="1" customWidth="1"/>
    <col min="6339" max="6339" width="9" style="1" customWidth="1"/>
    <col min="6340" max="6340" width="9.6640625" style="1" customWidth="1"/>
    <col min="6341" max="6341" width="9.33203125" style="1" customWidth="1"/>
    <col min="6342" max="6342" width="8.6640625" style="1" customWidth="1"/>
    <col min="6343" max="6343" width="6.77734375" style="1" customWidth="1"/>
    <col min="6344" max="6588" width="9.109375" style="1" customWidth="1"/>
    <col min="6589" max="6589" width="3.6640625" style="1"/>
    <col min="6590" max="6590" width="4.44140625" style="1" customWidth="1"/>
    <col min="6591" max="6591" width="5.77734375" style="1" customWidth="1"/>
    <col min="6592" max="6592" width="36" style="1" customWidth="1"/>
    <col min="6593" max="6593" width="9.6640625" style="1" customWidth="1"/>
    <col min="6594" max="6594" width="11.77734375" style="1" customWidth="1"/>
    <col min="6595" max="6595" width="9" style="1" customWidth="1"/>
    <col min="6596" max="6596" width="9.6640625" style="1" customWidth="1"/>
    <col min="6597" max="6597" width="9.33203125" style="1" customWidth="1"/>
    <col min="6598" max="6598" width="8.6640625" style="1" customWidth="1"/>
    <col min="6599" max="6599" width="6.77734375" style="1" customWidth="1"/>
    <col min="6600" max="6844" width="9.109375" style="1" customWidth="1"/>
    <col min="6845" max="6845" width="3.6640625" style="1"/>
    <col min="6846" max="6846" width="4.44140625" style="1" customWidth="1"/>
    <col min="6847" max="6847" width="5.77734375" style="1" customWidth="1"/>
    <col min="6848" max="6848" width="36" style="1" customWidth="1"/>
    <col min="6849" max="6849" width="9.6640625" style="1" customWidth="1"/>
    <col min="6850" max="6850" width="11.77734375" style="1" customWidth="1"/>
    <col min="6851" max="6851" width="9" style="1" customWidth="1"/>
    <col min="6852" max="6852" width="9.6640625" style="1" customWidth="1"/>
    <col min="6853" max="6853" width="9.33203125" style="1" customWidth="1"/>
    <col min="6854" max="6854" width="8.6640625" style="1" customWidth="1"/>
    <col min="6855" max="6855" width="6.77734375" style="1" customWidth="1"/>
    <col min="6856" max="7100" width="9.109375" style="1" customWidth="1"/>
    <col min="7101" max="7101" width="3.6640625" style="1"/>
    <col min="7102" max="7102" width="4.44140625" style="1" customWidth="1"/>
    <col min="7103" max="7103" width="5.77734375" style="1" customWidth="1"/>
    <col min="7104" max="7104" width="36" style="1" customWidth="1"/>
    <col min="7105" max="7105" width="9.6640625" style="1" customWidth="1"/>
    <col min="7106" max="7106" width="11.77734375" style="1" customWidth="1"/>
    <col min="7107" max="7107" width="9" style="1" customWidth="1"/>
    <col min="7108" max="7108" width="9.6640625" style="1" customWidth="1"/>
    <col min="7109" max="7109" width="9.33203125" style="1" customWidth="1"/>
    <col min="7110" max="7110" width="8.6640625" style="1" customWidth="1"/>
    <col min="7111" max="7111" width="6.77734375" style="1" customWidth="1"/>
    <col min="7112" max="7356" width="9.109375" style="1" customWidth="1"/>
    <col min="7357" max="7357" width="3.6640625" style="1"/>
    <col min="7358" max="7358" width="4.44140625" style="1" customWidth="1"/>
    <col min="7359" max="7359" width="5.77734375" style="1" customWidth="1"/>
    <col min="7360" max="7360" width="36" style="1" customWidth="1"/>
    <col min="7361" max="7361" width="9.6640625" style="1" customWidth="1"/>
    <col min="7362" max="7362" width="11.77734375" style="1" customWidth="1"/>
    <col min="7363" max="7363" width="9" style="1" customWidth="1"/>
    <col min="7364" max="7364" width="9.6640625" style="1" customWidth="1"/>
    <col min="7365" max="7365" width="9.33203125" style="1" customWidth="1"/>
    <col min="7366" max="7366" width="8.6640625" style="1" customWidth="1"/>
    <col min="7367" max="7367" width="6.77734375" style="1" customWidth="1"/>
    <col min="7368" max="7612" width="9.109375" style="1" customWidth="1"/>
    <col min="7613" max="7613" width="3.6640625" style="1"/>
    <col min="7614" max="7614" width="4.44140625" style="1" customWidth="1"/>
    <col min="7615" max="7615" width="5.77734375" style="1" customWidth="1"/>
    <col min="7616" max="7616" width="36" style="1" customWidth="1"/>
    <col min="7617" max="7617" width="9.6640625" style="1" customWidth="1"/>
    <col min="7618" max="7618" width="11.77734375" style="1" customWidth="1"/>
    <col min="7619" max="7619" width="9" style="1" customWidth="1"/>
    <col min="7620" max="7620" width="9.6640625" style="1" customWidth="1"/>
    <col min="7621" max="7621" width="9.33203125" style="1" customWidth="1"/>
    <col min="7622" max="7622" width="8.6640625" style="1" customWidth="1"/>
    <col min="7623" max="7623" width="6.77734375" style="1" customWidth="1"/>
    <col min="7624" max="7868" width="9.109375" style="1" customWidth="1"/>
    <col min="7869" max="7869" width="3.6640625" style="1"/>
    <col min="7870" max="7870" width="4.44140625" style="1" customWidth="1"/>
    <col min="7871" max="7871" width="5.77734375" style="1" customWidth="1"/>
    <col min="7872" max="7872" width="36" style="1" customWidth="1"/>
    <col min="7873" max="7873" width="9.6640625" style="1" customWidth="1"/>
    <col min="7874" max="7874" width="11.77734375" style="1" customWidth="1"/>
    <col min="7875" max="7875" width="9" style="1" customWidth="1"/>
    <col min="7876" max="7876" width="9.6640625" style="1" customWidth="1"/>
    <col min="7877" max="7877" width="9.33203125" style="1" customWidth="1"/>
    <col min="7878" max="7878" width="8.6640625" style="1" customWidth="1"/>
    <col min="7879" max="7879" width="6.77734375" style="1" customWidth="1"/>
    <col min="7880" max="8124" width="9.109375" style="1" customWidth="1"/>
    <col min="8125" max="8125" width="3.6640625" style="1"/>
    <col min="8126" max="8126" width="4.44140625" style="1" customWidth="1"/>
    <col min="8127" max="8127" width="5.77734375" style="1" customWidth="1"/>
    <col min="8128" max="8128" width="36" style="1" customWidth="1"/>
    <col min="8129" max="8129" width="9.6640625" style="1" customWidth="1"/>
    <col min="8130" max="8130" width="11.77734375" style="1" customWidth="1"/>
    <col min="8131" max="8131" width="9" style="1" customWidth="1"/>
    <col min="8132" max="8132" width="9.6640625" style="1" customWidth="1"/>
    <col min="8133" max="8133" width="9.33203125" style="1" customWidth="1"/>
    <col min="8134" max="8134" width="8.6640625" style="1" customWidth="1"/>
    <col min="8135" max="8135" width="6.77734375" style="1" customWidth="1"/>
    <col min="8136" max="8380" width="9.109375" style="1" customWidth="1"/>
    <col min="8381" max="8381" width="3.6640625" style="1"/>
    <col min="8382" max="8382" width="4.44140625" style="1" customWidth="1"/>
    <col min="8383" max="8383" width="5.77734375" style="1" customWidth="1"/>
    <col min="8384" max="8384" width="36" style="1" customWidth="1"/>
    <col min="8385" max="8385" width="9.6640625" style="1" customWidth="1"/>
    <col min="8386" max="8386" width="11.77734375" style="1" customWidth="1"/>
    <col min="8387" max="8387" width="9" style="1" customWidth="1"/>
    <col min="8388" max="8388" width="9.6640625" style="1" customWidth="1"/>
    <col min="8389" max="8389" width="9.33203125" style="1" customWidth="1"/>
    <col min="8390" max="8390" width="8.6640625" style="1" customWidth="1"/>
    <col min="8391" max="8391" width="6.77734375" style="1" customWidth="1"/>
    <col min="8392" max="8636" width="9.109375" style="1" customWidth="1"/>
    <col min="8637" max="8637" width="3.6640625" style="1"/>
    <col min="8638" max="8638" width="4.44140625" style="1" customWidth="1"/>
    <col min="8639" max="8639" width="5.77734375" style="1" customWidth="1"/>
    <col min="8640" max="8640" width="36" style="1" customWidth="1"/>
    <col min="8641" max="8641" width="9.6640625" style="1" customWidth="1"/>
    <col min="8642" max="8642" width="11.77734375" style="1" customWidth="1"/>
    <col min="8643" max="8643" width="9" style="1" customWidth="1"/>
    <col min="8644" max="8644" width="9.6640625" style="1" customWidth="1"/>
    <col min="8645" max="8645" width="9.33203125" style="1" customWidth="1"/>
    <col min="8646" max="8646" width="8.6640625" style="1" customWidth="1"/>
    <col min="8647" max="8647" width="6.77734375" style="1" customWidth="1"/>
    <col min="8648" max="8892" width="9.109375" style="1" customWidth="1"/>
    <col min="8893" max="8893" width="3.6640625" style="1"/>
    <col min="8894" max="8894" width="4.44140625" style="1" customWidth="1"/>
    <col min="8895" max="8895" width="5.77734375" style="1" customWidth="1"/>
    <col min="8896" max="8896" width="36" style="1" customWidth="1"/>
    <col min="8897" max="8897" width="9.6640625" style="1" customWidth="1"/>
    <col min="8898" max="8898" width="11.77734375" style="1" customWidth="1"/>
    <col min="8899" max="8899" width="9" style="1" customWidth="1"/>
    <col min="8900" max="8900" width="9.6640625" style="1" customWidth="1"/>
    <col min="8901" max="8901" width="9.33203125" style="1" customWidth="1"/>
    <col min="8902" max="8902" width="8.6640625" style="1" customWidth="1"/>
    <col min="8903" max="8903" width="6.77734375" style="1" customWidth="1"/>
    <col min="8904" max="9148" width="9.109375" style="1" customWidth="1"/>
    <col min="9149" max="9149" width="3.6640625" style="1"/>
    <col min="9150" max="9150" width="4.44140625" style="1" customWidth="1"/>
    <col min="9151" max="9151" width="5.77734375" style="1" customWidth="1"/>
    <col min="9152" max="9152" width="36" style="1" customWidth="1"/>
    <col min="9153" max="9153" width="9.6640625" style="1" customWidth="1"/>
    <col min="9154" max="9154" width="11.77734375" style="1" customWidth="1"/>
    <col min="9155" max="9155" width="9" style="1" customWidth="1"/>
    <col min="9156" max="9156" width="9.6640625" style="1" customWidth="1"/>
    <col min="9157" max="9157" width="9.33203125" style="1" customWidth="1"/>
    <col min="9158" max="9158" width="8.6640625" style="1" customWidth="1"/>
    <col min="9159" max="9159" width="6.77734375" style="1" customWidth="1"/>
    <col min="9160" max="9404" width="9.109375" style="1" customWidth="1"/>
    <col min="9405" max="9405" width="3.6640625" style="1"/>
    <col min="9406" max="9406" width="4.44140625" style="1" customWidth="1"/>
    <col min="9407" max="9407" width="5.77734375" style="1" customWidth="1"/>
    <col min="9408" max="9408" width="36" style="1" customWidth="1"/>
    <col min="9409" max="9409" width="9.6640625" style="1" customWidth="1"/>
    <col min="9410" max="9410" width="11.77734375" style="1" customWidth="1"/>
    <col min="9411" max="9411" width="9" style="1" customWidth="1"/>
    <col min="9412" max="9412" width="9.6640625" style="1" customWidth="1"/>
    <col min="9413" max="9413" width="9.33203125" style="1" customWidth="1"/>
    <col min="9414" max="9414" width="8.6640625" style="1" customWidth="1"/>
    <col min="9415" max="9415" width="6.77734375" style="1" customWidth="1"/>
    <col min="9416" max="9660" width="9.109375" style="1" customWidth="1"/>
    <col min="9661" max="9661" width="3.6640625" style="1"/>
    <col min="9662" max="9662" width="4.44140625" style="1" customWidth="1"/>
    <col min="9663" max="9663" width="5.77734375" style="1" customWidth="1"/>
    <col min="9664" max="9664" width="36" style="1" customWidth="1"/>
    <col min="9665" max="9665" width="9.6640625" style="1" customWidth="1"/>
    <col min="9666" max="9666" width="11.77734375" style="1" customWidth="1"/>
    <col min="9667" max="9667" width="9" style="1" customWidth="1"/>
    <col min="9668" max="9668" width="9.6640625" style="1" customWidth="1"/>
    <col min="9669" max="9669" width="9.33203125" style="1" customWidth="1"/>
    <col min="9670" max="9670" width="8.6640625" style="1" customWidth="1"/>
    <col min="9671" max="9671" width="6.77734375" style="1" customWidth="1"/>
    <col min="9672" max="9916" width="9.109375" style="1" customWidth="1"/>
    <col min="9917" max="9917" width="3.6640625" style="1"/>
    <col min="9918" max="9918" width="4.44140625" style="1" customWidth="1"/>
    <col min="9919" max="9919" width="5.77734375" style="1" customWidth="1"/>
    <col min="9920" max="9920" width="36" style="1" customWidth="1"/>
    <col min="9921" max="9921" width="9.6640625" style="1" customWidth="1"/>
    <col min="9922" max="9922" width="11.77734375" style="1" customWidth="1"/>
    <col min="9923" max="9923" width="9" style="1" customWidth="1"/>
    <col min="9924" max="9924" width="9.6640625" style="1" customWidth="1"/>
    <col min="9925" max="9925" width="9.33203125" style="1" customWidth="1"/>
    <col min="9926" max="9926" width="8.6640625" style="1" customWidth="1"/>
    <col min="9927" max="9927" width="6.77734375" style="1" customWidth="1"/>
    <col min="9928" max="10172" width="9.109375" style="1" customWidth="1"/>
    <col min="10173" max="10173" width="3.6640625" style="1"/>
    <col min="10174" max="10174" width="4.44140625" style="1" customWidth="1"/>
    <col min="10175" max="10175" width="5.77734375" style="1" customWidth="1"/>
    <col min="10176" max="10176" width="36" style="1" customWidth="1"/>
    <col min="10177" max="10177" width="9.6640625" style="1" customWidth="1"/>
    <col min="10178" max="10178" width="11.77734375" style="1" customWidth="1"/>
    <col min="10179" max="10179" width="9" style="1" customWidth="1"/>
    <col min="10180" max="10180" width="9.6640625" style="1" customWidth="1"/>
    <col min="10181" max="10181" width="9.33203125" style="1" customWidth="1"/>
    <col min="10182" max="10182" width="8.6640625" style="1" customWidth="1"/>
    <col min="10183" max="10183" width="6.77734375" style="1" customWidth="1"/>
    <col min="10184" max="10428" width="9.109375" style="1" customWidth="1"/>
    <col min="10429" max="10429" width="3.6640625" style="1"/>
    <col min="10430" max="10430" width="4.44140625" style="1" customWidth="1"/>
    <col min="10431" max="10431" width="5.77734375" style="1" customWidth="1"/>
    <col min="10432" max="10432" width="36" style="1" customWidth="1"/>
    <col min="10433" max="10433" width="9.6640625" style="1" customWidth="1"/>
    <col min="10434" max="10434" width="11.77734375" style="1" customWidth="1"/>
    <col min="10435" max="10435" width="9" style="1" customWidth="1"/>
    <col min="10436" max="10436" width="9.6640625" style="1" customWidth="1"/>
    <col min="10437" max="10437" width="9.33203125" style="1" customWidth="1"/>
    <col min="10438" max="10438" width="8.6640625" style="1" customWidth="1"/>
    <col min="10439" max="10439" width="6.77734375" style="1" customWidth="1"/>
    <col min="10440" max="10684" width="9.109375" style="1" customWidth="1"/>
    <col min="10685" max="10685" width="3.6640625" style="1"/>
    <col min="10686" max="10686" width="4.44140625" style="1" customWidth="1"/>
    <col min="10687" max="10687" width="5.77734375" style="1" customWidth="1"/>
    <col min="10688" max="10688" width="36" style="1" customWidth="1"/>
    <col min="10689" max="10689" width="9.6640625" style="1" customWidth="1"/>
    <col min="10690" max="10690" width="11.77734375" style="1" customWidth="1"/>
    <col min="10691" max="10691" width="9" style="1" customWidth="1"/>
    <col min="10692" max="10692" width="9.6640625" style="1" customWidth="1"/>
    <col min="10693" max="10693" width="9.33203125" style="1" customWidth="1"/>
    <col min="10694" max="10694" width="8.6640625" style="1" customWidth="1"/>
    <col min="10695" max="10695" width="6.77734375" style="1" customWidth="1"/>
    <col min="10696" max="10940" width="9.109375" style="1" customWidth="1"/>
    <col min="10941" max="10941" width="3.6640625" style="1"/>
    <col min="10942" max="10942" width="4.44140625" style="1" customWidth="1"/>
    <col min="10943" max="10943" width="5.77734375" style="1" customWidth="1"/>
    <col min="10944" max="10944" width="36" style="1" customWidth="1"/>
    <col min="10945" max="10945" width="9.6640625" style="1" customWidth="1"/>
    <col min="10946" max="10946" width="11.77734375" style="1" customWidth="1"/>
    <col min="10947" max="10947" width="9" style="1" customWidth="1"/>
    <col min="10948" max="10948" width="9.6640625" style="1" customWidth="1"/>
    <col min="10949" max="10949" width="9.33203125" style="1" customWidth="1"/>
    <col min="10950" max="10950" width="8.6640625" style="1" customWidth="1"/>
    <col min="10951" max="10951" width="6.77734375" style="1" customWidth="1"/>
    <col min="10952" max="11196" width="9.109375" style="1" customWidth="1"/>
    <col min="11197" max="11197" width="3.6640625" style="1"/>
    <col min="11198" max="11198" width="4.44140625" style="1" customWidth="1"/>
    <col min="11199" max="11199" width="5.77734375" style="1" customWidth="1"/>
    <col min="11200" max="11200" width="36" style="1" customWidth="1"/>
    <col min="11201" max="11201" width="9.6640625" style="1" customWidth="1"/>
    <col min="11202" max="11202" width="11.77734375" style="1" customWidth="1"/>
    <col min="11203" max="11203" width="9" style="1" customWidth="1"/>
    <col min="11204" max="11204" width="9.6640625" style="1" customWidth="1"/>
    <col min="11205" max="11205" width="9.33203125" style="1" customWidth="1"/>
    <col min="11206" max="11206" width="8.6640625" style="1" customWidth="1"/>
    <col min="11207" max="11207" width="6.77734375" style="1" customWidth="1"/>
    <col min="11208" max="11452" width="9.109375" style="1" customWidth="1"/>
    <col min="11453" max="11453" width="3.6640625" style="1"/>
    <col min="11454" max="11454" width="4.44140625" style="1" customWidth="1"/>
    <col min="11455" max="11455" width="5.77734375" style="1" customWidth="1"/>
    <col min="11456" max="11456" width="36" style="1" customWidth="1"/>
    <col min="11457" max="11457" width="9.6640625" style="1" customWidth="1"/>
    <col min="11458" max="11458" width="11.77734375" style="1" customWidth="1"/>
    <col min="11459" max="11459" width="9" style="1" customWidth="1"/>
    <col min="11460" max="11460" width="9.6640625" style="1" customWidth="1"/>
    <col min="11461" max="11461" width="9.33203125" style="1" customWidth="1"/>
    <col min="11462" max="11462" width="8.6640625" style="1" customWidth="1"/>
    <col min="11463" max="11463" width="6.77734375" style="1" customWidth="1"/>
    <col min="11464" max="11708" width="9.109375" style="1" customWidth="1"/>
    <col min="11709" max="11709" width="3.6640625" style="1"/>
    <col min="11710" max="11710" width="4.44140625" style="1" customWidth="1"/>
    <col min="11711" max="11711" width="5.77734375" style="1" customWidth="1"/>
    <col min="11712" max="11712" width="36" style="1" customWidth="1"/>
    <col min="11713" max="11713" width="9.6640625" style="1" customWidth="1"/>
    <col min="11714" max="11714" width="11.77734375" style="1" customWidth="1"/>
    <col min="11715" max="11715" width="9" style="1" customWidth="1"/>
    <col min="11716" max="11716" width="9.6640625" style="1" customWidth="1"/>
    <col min="11717" max="11717" width="9.33203125" style="1" customWidth="1"/>
    <col min="11718" max="11718" width="8.6640625" style="1" customWidth="1"/>
    <col min="11719" max="11719" width="6.77734375" style="1" customWidth="1"/>
    <col min="11720" max="11964" width="9.109375" style="1" customWidth="1"/>
    <col min="11965" max="11965" width="3.6640625" style="1"/>
    <col min="11966" max="11966" width="4.44140625" style="1" customWidth="1"/>
    <col min="11967" max="11967" width="5.77734375" style="1" customWidth="1"/>
    <col min="11968" max="11968" width="36" style="1" customWidth="1"/>
    <col min="11969" max="11969" width="9.6640625" style="1" customWidth="1"/>
    <col min="11970" max="11970" width="11.77734375" style="1" customWidth="1"/>
    <col min="11971" max="11971" width="9" style="1" customWidth="1"/>
    <col min="11972" max="11972" width="9.6640625" style="1" customWidth="1"/>
    <col min="11973" max="11973" width="9.33203125" style="1" customWidth="1"/>
    <col min="11974" max="11974" width="8.6640625" style="1" customWidth="1"/>
    <col min="11975" max="11975" width="6.77734375" style="1" customWidth="1"/>
    <col min="11976" max="12220" width="9.109375" style="1" customWidth="1"/>
    <col min="12221" max="12221" width="3.6640625" style="1"/>
    <col min="12222" max="12222" width="4.44140625" style="1" customWidth="1"/>
    <col min="12223" max="12223" width="5.77734375" style="1" customWidth="1"/>
    <col min="12224" max="12224" width="36" style="1" customWidth="1"/>
    <col min="12225" max="12225" width="9.6640625" style="1" customWidth="1"/>
    <col min="12226" max="12226" width="11.77734375" style="1" customWidth="1"/>
    <col min="12227" max="12227" width="9" style="1" customWidth="1"/>
    <col min="12228" max="12228" width="9.6640625" style="1" customWidth="1"/>
    <col min="12229" max="12229" width="9.33203125" style="1" customWidth="1"/>
    <col min="12230" max="12230" width="8.6640625" style="1" customWidth="1"/>
    <col min="12231" max="12231" width="6.77734375" style="1" customWidth="1"/>
    <col min="12232" max="12476" width="9.109375" style="1" customWidth="1"/>
    <col min="12477" max="12477" width="3.6640625" style="1"/>
    <col min="12478" max="12478" width="4.44140625" style="1" customWidth="1"/>
    <col min="12479" max="12479" width="5.77734375" style="1" customWidth="1"/>
    <col min="12480" max="12480" width="36" style="1" customWidth="1"/>
    <col min="12481" max="12481" width="9.6640625" style="1" customWidth="1"/>
    <col min="12482" max="12482" width="11.77734375" style="1" customWidth="1"/>
    <col min="12483" max="12483" width="9" style="1" customWidth="1"/>
    <col min="12484" max="12484" width="9.6640625" style="1" customWidth="1"/>
    <col min="12485" max="12485" width="9.33203125" style="1" customWidth="1"/>
    <col min="12486" max="12486" width="8.6640625" style="1" customWidth="1"/>
    <col min="12487" max="12487" width="6.77734375" style="1" customWidth="1"/>
    <col min="12488" max="12732" width="9.109375" style="1" customWidth="1"/>
    <col min="12733" max="12733" width="3.6640625" style="1"/>
    <col min="12734" max="12734" width="4.44140625" style="1" customWidth="1"/>
    <col min="12735" max="12735" width="5.77734375" style="1" customWidth="1"/>
    <col min="12736" max="12736" width="36" style="1" customWidth="1"/>
    <col min="12737" max="12737" width="9.6640625" style="1" customWidth="1"/>
    <col min="12738" max="12738" width="11.77734375" style="1" customWidth="1"/>
    <col min="12739" max="12739" width="9" style="1" customWidth="1"/>
    <col min="12740" max="12740" width="9.6640625" style="1" customWidth="1"/>
    <col min="12741" max="12741" width="9.33203125" style="1" customWidth="1"/>
    <col min="12742" max="12742" width="8.6640625" style="1" customWidth="1"/>
    <col min="12743" max="12743" width="6.77734375" style="1" customWidth="1"/>
    <col min="12744" max="12988" width="9.109375" style="1" customWidth="1"/>
    <col min="12989" max="12989" width="3.6640625" style="1"/>
    <col min="12990" max="12990" width="4.44140625" style="1" customWidth="1"/>
    <col min="12991" max="12991" width="5.77734375" style="1" customWidth="1"/>
    <col min="12992" max="12992" width="36" style="1" customWidth="1"/>
    <col min="12993" max="12993" width="9.6640625" style="1" customWidth="1"/>
    <col min="12994" max="12994" width="11.77734375" style="1" customWidth="1"/>
    <col min="12995" max="12995" width="9" style="1" customWidth="1"/>
    <col min="12996" max="12996" width="9.6640625" style="1" customWidth="1"/>
    <col min="12997" max="12997" width="9.33203125" style="1" customWidth="1"/>
    <col min="12998" max="12998" width="8.6640625" style="1" customWidth="1"/>
    <col min="12999" max="12999" width="6.77734375" style="1" customWidth="1"/>
    <col min="13000" max="13244" width="9.109375" style="1" customWidth="1"/>
    <col min="13245" max="13245" width="3.6640625" style="1"/>
    <col min="13246" max="13246" width="4.44140625" style="1" customWidth="1"/>
    <col min="13247" max="13247" width="5.77734375" style="1" customWidth="1"/>
    <col min="13248" max="13248" width="36" style="1" customWidth="1"/>
    <col min="13249" max="13249" width="9.6640625" style="1" customWidth="1"/>
    <col min="13250" max="13250" width="11.77734375" style="1" customWidth="1"/>
    <col min="13251" max="13251" width="9" style="1" customWidth="1"/>
    <col min="13252" max="13252" width="9.6640625" style="1" customWidth="1"/>
    <col min="13253" max="13253" width="9.33203125" style="1" customWidth="1"/>
    <col min="13254" max="13254" width="8.6640625" style="1" customWidth="1"/>
    <col min="13255" max="13255" width="6.77734375" style="1" customWidth="1"/>
    <col min="13256" max="13500" width="9.109375" style="1" customWidth="1"/>
    <col min="13501" max="13501" width="3.6640625" style="1"/>
    <col min="13502" max="13502" width="4.44140625" style="1" customWidth="1"/>
    <col min="13503" max="13503" width="5.77734375" style="1" customWidth="1"/>
    <col min="13504" max="13504" width="36" style="1" customWidth="1"/>
    <col min="13505" max="13505" width="9.6640625" style="1" customWidth="1"/>
    <col min="13506" max="13506" width="11.77734375" style="1" customWidth="1"/>
    <col min="13507" max="13507" width="9" style="1" customWidth="1"/>
    <col min="13508" max="13508" width="9.6640625" style="1" customWidth="1"/>
    <col min="13509" max="13509" width="9.33203125" style="1" customWidth="1"/>
    <col min="13510" max="13510" width="8.6640625" style="1" customWidth="1"/>
    <col min="13511" max="13511" width="6.77734375" style="1" customWidth="1"/>
    <col min="13512" max="13756" width="9.109375" style="1" customWidth="1"/>
    <col min="13757" max="13757" width="3.6640625" style="1"/>
    <col min="13758" max="13758" width="4.44140625" style="1" customWidth="1"/>
    <col min="13759" max="13759" width="5.77734375" style="1" customWidth="1"/>
    <col min="13760" max="13760" width="36" style="1" customWidth="1"/>
    <col min="13761" max="13761" width="9.6640625" style="1" customWidth="1"/>
    <col min="13762" max="13762" width="11.77734375" style="1" customWidth="1"/>
    <col min="13763" max="13763" width="9" style="1" customWidth="1"/>
    <col min="13764" max="13764" width="9.6640625" style="1" customWidth="1"/>
    <col min="13765" max="13765" width="9.33203125" style="1" customWidth="1"/>
    <col min="13766" max="13766" width="8.6640625" style="1" customWidth="1"/>
    <col min="13767" max="13767" width="6.77734375" style="1" customWidth="1"/>
    <col min="13768" max="14012" width="9.109375" style="1" customWidth="1"/>
    <col min="14013" max="14013" width="3.6640625" style="1"/>
    <col min="14014" max="14014" width="4.44140625" style="1" customWidth="1"/>
    <col min="14015" max="14015" width="5.77734375" style="1" customWidth="1"/>
    <col min="14016" max="14016" width="36" style="1" customWidth="1"/>
    <col min="14017" max="14017" width="9.6640625" style="1" customWidth="1"/>
    <col min="14018" max="14018" width="11.77734375" style="1" customWidth="1"/>
    <col min="14019" max="14019" width="9" style="1" customWidth="1"/>
    <col min="14020" max="14020" width="9.6640625" style="1" customWidth="1"/>
    <col min="14021" max="14021" width="9.33203125" style="1" customWidth="1"/>
    <col min="14022" max="14022" width="8.6640625" style="1" customWidth="1"/>
    <col min="14023" max="14023" width="6.77734375" style="1" customWidth="1"/>
    <col min="14024" max="14268" width="9.109375" style="1" customWidth="1"/>
    <col min="14269" max="14269" width="3.6640625" style="1"/>
    <col min="14270" max="14270" width="4.44140625" style="1" customWidth="1"/>
    <col min="14271" max="14271" width="5.77734375" style="1" customWidth="1"/>
    <col min="14272" max="14272" width="36" style="1" customWidth="1"/>
    <col min="14273" max="14273" width="9.6640625" style="1" customWidth="1"/>
    <col min="14274" max="14274" width="11.77734375" style="1" customWidth="1"/>
    <col min="14275" max="14275" width="9" style="1" customWidth="1"/>
    <col min="14276" max="14276" width="9.6640625" style="1" customWidth="1"/>
    <col min="14277" max="14277" width="9.33203125" style="1" customWidth="1"/>
    <col min="14278" max="14278" width="8.6640625" style="1" customWidth="1"/>
    <col min="14279" max="14279" width="6.77734375" style="1" customWidth="1"/>
    <col min="14280" max="14524" width="9.109375" style="1" customWidth="1"/>
    <col min="14525" max="14525" width="3.6640625" style="1"/>
    <col min="14526" max="14526" width="4.44140625" style="1" customWidth="1"/>
    <col min="14527" max="14527" width="5.77734375" style="1" customWidth="1"/>
    <col min="14528" max="14528" width="36" style="1" customWidth="1"/>
    <col min="14529" max="14529" width="9.6640625" style="1" customWidth="1"/>
    <col min="14530" max="14530" width="11.77734375" style="1" customWidth="1"/>
    <col min="14531" max="14531" width="9" style="1" customWidth="1"/>
    <col min="14532" max="14532" width="9.6640625" style="1" customWidth="1"/>
    <col min="14533" max="14533" width="9.33203125" style="1" customWidth="1"/>
    <col min="14534" max="14534" width="8.6640625" style="1" customWidth="1"/>
    <col min="14535" max="14535" width="6.77734375" style="1" customWidth="1"/>
    <col min="14536" max="14780" width="9.109375" style="1" customWidth="1"/>
    <col min="14781" max="14781" width="3.6640625" style="1"/>
    <col min="14782" max="14782" width="4.44140625" style="1" customWidth="1"/>
    <col min="14783" max="14783" width="5.77734375" style="1" customWidth="1"/>
    <col min="14784" max="14784" width="36" style="1" customWidth="1"/>
    <col min="14785" max="14785" width="9.6640625" style="1" customWidth="1"/>
    <col min="14786" max="14786" width="11.77734375" style="1" customWidth="1"/>
    <col min="14787" max="14787" width="9" style="1" customWidth="1"/>
    <col min="14788" max="14788" width="9.6640625" style="1" customWidth="1"/>
    <col min="14789" max="14789" width="9.33203125" style="1" customWidth="1"/>
    <col min="14790" max="14790" width="8.6640625" style="1" customWidth="1"/>
    <col min="14791" max="14791" width="6.77734375" style="1" customWidth="1"/>
    <col min="14792" max="15036" width="9.109375" style="1" customWidth="1"/>
    <col min="15037" max="15037" width="3.6640625" style="1"/>
    <col min="15038" max="15038" width="4.44140625" style="1" customWidth="1"/>
    <col min="15039" max="15039" width="5.77734375" style="1" customWidth="1"/>
    <col min="15040" max="15040" width="36" style="1" customWidth="1"/>
    <col min="15041" max="15041" width="9.6640625" style="1" customWidth="1"/>
    <col min="15042" max="15042" width="11.77734375" style="1" customWidth="1"/>
    <col min="15043" max="15043" width="9" style="1" customWidth="1"/>
    <col min="15044" max="15044" width="9.6640625" style="1" customWidth="1"/>
    <col min="15045" max="15045" width="9.33203125" style="1" customWidth="1"/>
    <col min="15046" max="15046" width="8.6640625" style="1" customWidth="1"/>
    <col min="15047" max="15047" width="6.77734375" style="1" customWidth="1"/>
    <col min="15048" max="15292" width="9.109375" style="1" customWidth="1"/>
    <col min="15293" max="15293" width="3.6640625" style="1"/>
    <col min="15294" max="15294" width="4.44140625" style="1" customWidth="1"/>
    <col min="15295" max="15295" width="5.77734375" style="1" customWidth="1"/>
    <col min="15296" max="15296" width="36" style="1" customWidth="1"/>
    <col min="15297" max="15297" width="9.6640625" style="1" customWidth="1"/>
    <col min="15298" max="15298" width="11.77734375" style="1" customWidth="1"/>
    <col min="15299" max="15299" width="9" style="1" customWidth="1"/>
    <col min="15300" max="15300" width="9.6640625" style="1" customWidth="1"/>
    <col min="15301" max="15301" width="9.33203125" style="1" customWidth="1"/>
    <col min="15302" max="15302" width="8.6640625" style="1" customWidth="1"/>
    <col min="15303" max="15303" width="6.77734375" style="1" customWidth="1"/>
    <col min="15304" max="15548" width="9.109375" style="1" customWidth="1"/>
    <col min="15549" max="15549" width="3.6640625" style="1"/>
    <col min="15550" max="15550" width="4.44140625" style="1" customWidth="1"/>
    <col min="15551" max="15551" width="5.77734375" style="1" customWidth="1"/>
    <col min="15552" max="15552" width="36" style="1" customWidth="1"/>
    <col min="15553" max="15553" width="9.6640625" style="1" customWidth="1"/>
    <col min="15554" max="15554" width="11.77734375" style="1" customWidth="1"/>
    <col min="15555" max="15555" width="9" style="1" customWidth="1"/>
    <col min="15556" max="15556" width="9.6640625" style="1" customWidth="1"/>
    <col min="15557" max="15557" width="9.33203125" style="1" customWidth="1"/>
    <col min="15558" max="15558" width="8.6640625" style="1" customWidth="1"/>
    <col min="15559" max="15559" width="6.77734375" style="1" customWidth="1"/>
    <col min="15560" max="15804" width="9.109375" style="1" customWidth="1"/>
    <col min="15805" max="15805" width="3.6640625" style="1"/>
    <col min="15806" max="15806" width="4.44140625" style="1" customWidth="1"/>
    <col min="15807" max="15807" width="5.77734375" style="1" customWidth="1"/>
    <col min="15808" max="15808" width="36" style="1" customWidth="1"/>
    <col min="15809" max="15809" width="9.6640625" style="1" customWidth="1"/>
    <col min="15810" max="15810" width="11.77734375" style="1" customWidth="1"/>
    <col min="15811" max="15811" width="9" style="1" customWidth="1"/>
    <col min="15812" max="15812" width="9.6640625" style="1" customWidth="1"/>
    <col min="15813" max="15813" width="9.33203125" style="1" customWidth="1"/>
    <col min="15814" max="15814" width="8.6640625" style="1" customWidth="1"/>
    <col min="15815" max="15815" width="6.77734375" style="1" customWidth="1"/>
    <col min="15816" max="16060" width="9.109375" style="1" customWidth="1"/>
    <col min="16061" max="16061" width="3.6640625" style="1"/>
    <col min="16062" max="16062" width="4.44140625" style="1" customWidth="1"/>
    <col min="16063" max="16063" width="5.77734375" style="1" customWidth="1"/>
    <col min="16064" max="16064" width="36" style="1" customWidth="1"/>
    <col min="16065" max="16065" width="9.6640625" style="1" customWidth="1"/>
    <col min="16066" max="16066" width="11.77734375" style="1" customWidth="1"/>
    <col min="16067" max="16067" width="9" style="1" customWidth="1"/>
    <col min="16068" max="16068" width="9.6640625" style="1" customWidth="1"/>
    <col min="16069" max="16069" width="9.33203125" style="1" customWidth="1"/>
    <col min="16070" max="16070" width="8.6640625" style="1" customWidth="1"/>
    <col min="16071" max="16071" width="6.77734375" style="1" customWidth="1"/>
    <col min="16072" max="16316" width="9.109375" style="1" customWidth="1"/>
    <col min="16317" max="16384" width="3.6640625" style="1"/>
  </cols>
  <sheetData>
    <row r="1" spans="1:9" x14ac:dyDescent="0.2">
      <c r="C1" s="4"/>
      <c r="G1" s="233"/>
      <c r="H1" s="233"/>
      <c r="I1" s="233"/>
    </row>
    <row r="2" spans="1:9" x14ac:dyDescent="0.2">
      <c r="A2" s="273" t="s">
        <v>16</v>
      </c>
      <c r="B2" s="273"/>
      <c r="C2" s="273"/>
      <c r="D2" s="273"/>
      <c r="E2" s="273"/>
      <c r="F2" s="273"/>
      <c r="G2" s="273"/>
      <c r="H2" s="273"/>
      <c r="I2" s="27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74" t="s">
        <v>17</v>
      </c>
      <c r="D4" s="274"/>
      <c r="E4" s="274"/>
      <c r="F4" s="274"/>
      <c r="G4" s="274"/>
      <c r="H4" s="274"/>
      <c r="I4" s="274"/>
    </row>
    <row r="5" spans="1:9" ht="11.25" customHeight="1" x14ac:dyDescent="0.2">
      <c r="A5" s="82"/>
      <c r="B5" s="82"/>
      <c r="C5" s="276" t="s">
        <v>52</v>
      </c>
      <c r="D5" s="276"/>
      <c r="E5" s="276"/>
      <c r="F5" s="276"/>
      <c r="G5" s="276"/>
      <c r="H5" s="276"/>
      <c r="I5" s="276"/>
    </row>
    <row r="6" spans="1:9" x14ac:dyDescent="0.2">
      <c r="A6" s="272" t="s">
        <v>18</v>
      </c>
      <c r="B6" s="272"/>
      <c r="C6" s="272"/>
      <c r="D6" s="275" t="str">
        <f>'Kopt a'!B13</f>
        <v xml:space="preserve"> Dzīvojamā māja</v>
      </c>
      <c r="E6" s="275"/>
      <c r="F6" s="275"/>
      <c r="G6" s="275"/>
      <c r="H6" s="275"/>
      <c r="I6" s="275"/>
    </row>
    <row r="7" spans="1:9" x14ac:dyDescent="0.2">
      <c r="A7" s="272" t="s">
        <v>6</v>
      </c>
      <c r="B7" s="272"/>
      <c r="C7" s="272"/>
      <c r="D7" s="270" t="str">
        <f>'Kopt a'!B14</f>
        <v xml:space="preserve">Energoefektivitātes paaugstināšanas projekts dzīvojamai mājai </v>
      </c>
      <c r="E7" s="270"/>
      <c r="F7" s="270"/>
      <c r="G7" s="270"/>
      <c r="H7" s="270"/>
      <c r="I7" s="270"/>
    </row>
    <row r="8" spans="1:9" x14ac:dyDescent="0.2">
      <c r="A8" s="269" t="s">
        <v>19</v>
      </c>
      <c r="B8" s="269"/>
      <c r="C8" s="269"/>
      <c r="D8" s="270" t="str">
        <f>'Kopt a'!B15</f>
        <v>Kristapa Helmaņa iela 5, Jelgava, LV-3004, KAD.NR.09000270201001</v>
      </c>
      <c r="E8" s="270"/>
      <c r="F8" s="270"/>
      <c r="G8" s="270"/>
      <c r="H8" s="270"/>
      <c r="I8" s="270"/>
    </row>
    <row r="9" spans="1:9" x14ac:dyDescent="0.2">
      <c r="A9" s="269" t="s">
        <v>20</v>
      </c>
      <c r="B9" s="269"/>
      <c r="C9" s="269"/>
      <c r="D9" s="270">
        <f>'Kopt a'!B16</f>
        <v>0</v>
      </c>
      <c r="E9" s="270"/>
      <c r="F9" s="270"/>
      <c r="G9" s="270"/>
      <c r="H9" s="270"/>
      <c r="I9" s="270"/>
    </row>
    <row r="10" spans="1:9" x14ac:dyDescent="0.2">
      <c r="C10" s="4" t="s">
        <v>21</v>
      </c>
      <c r="D10" s="271">
        <f>E27</f>
        <v>0</v>
      </c>
      <c r="E10" s="271"/>
      <c r="F10" s="75"/>
      <c r="G10" s="75"/>
      <c r="H10" s="75"/>
      <c r="I10" s="75"/>
    </row>
    <row r="11" spans="1:9" x14ac:dyDescent="0.2">
      <c r="C11" s="4" t="s">
        <v>22</v>
      </c>
      <c r="D11" s="271">
        <f>I23</f>
        <v>0</v>
      </c>
      <c r="E11" s="271"/>
      <c r="F11" s="75"/>
      <c r="G11" s="75"/>
      <c r="H11" s="75"/>
      <c r="I11" s="75"/>
    </row>
    <row r="12" spans="1:9" ht="10.8" thickBot="1" x14ac:dyDescent="0.25">
      <c r="F12" s="18"/>
      <c r="G12" s="18"/>
      <c r="H12" s="18"/>
      <c r="I12" s="18"/>
    </row>
    <row r="13" spans="1:9" x14ac:dyDescent="0.2">
      <c r="A13" s="253" t="s">
        <v>23</v>
      </c>
      <c r="B13" s="255" t="s">
        <v>24</v>
      </c>
      <c r="C13" s="257" t="s">
        <v>25</v>
      </c>
      <c r="D13" s="258"/>
      <c r="E13" s="261" t="s">
        <v>26</v>
      </c>
      <c r="F13" s="265" t="s">
        <v>27</v>
      </c>
      <c r="G13" s="266"/>
      <c r="H13" s="266"/>
      <c r="I13" s="267" t="s">
        <v>28</v>
      </c>
    </row>
    <row r="14" spans="1:9" ht="21" thickBot="1" x14ac:dyDescent="0.25">
      <c r="A14" s="254"/>
      <c r="B14" s="256"/>
      <c r="C14" s="259"/>
      <c r="D14" s="260"/>
      <c r="E14" s="262"/>
      <c r="F14" s="19" t="s">
        <v>29</v>
      </c>
      <c r="G14" s="20" t="s">
        <v>30</v>
      </c>
      <c r="H14" s="20" t="s">
        <v>31</v>
      </c>
      <c r="I14" s="268"/>
    </row>
    <row r="15" spans="1:9" x14ac:dyDescent="0.2">
      <c r="A15" s="70">
        <v>1</v>
      </c>
      <c r="B15" s="24" t="str">
        <f>IF(A15=0,0,CONCATENATE("Lt-",A15))</f>
        <v>Lt-1</v>
      </c>
      <c r="C15" s="263" t="str">
        <f>'1a'!C2:I2</f>
        <v>Būvlaukuma sagatavošanas darbi</v>
      </c>
      <c r="D15" s="264"/>
      <c r="E15" s="57">
        <f>'1a'!P30</f>
        <v>0</v>
      </c>
      <c r="F15" s="52">
        <f>'1a'!M30</f>
        <v>0</v>
      </c>
      <c r="G15" s="53">
        <f>'1a'!N30</f>
        <v>0</v>
      </c>
      <c r="H15" s="53">
        <f>'1a'!O30</f>
        <v>0</v>
      </c>
      <c r="I15" s="54">
        <f>'1a'!L30</f>
        <v>0</v>
      </c>
    </row>
    <row r="16" spans="1:9" x14ac:dyDescent="0.2">
      <c r="A16" s="71">
        <v>2</v>
      </c>
      <c r="B16" s="25" t="str">
        <f>IF(A16=0,0,CONCATENATE("Lt-",A16))</f>
        <v>Lt-2</v>
      </c>
      <c r="C16" s="251" t="str">
        <f>'2a'!C2:I2</f>
        <v>Jumta remonts un bēniņu siltināšana</v>
      </c>
      <c r="D16" s="252"/>
      <c r="E16" s="58">
        <f>'2a'!P61</f>
        <v>0</v>
      </c>
      <c r="F16" s="44">
        <f>'2a'!M61</f>
        <v>0</v>
      </c>
      <c r="G16" s="55">
        <f>'2a'!N61</f>
        <v>0</v>
      </c>
      <c r="H16" s="55">
        <f>'2a'!O61</f>
        <v>0</v>
      </c>
      <c r="I16" s="56">
        <f>'2a'!L61</f>
        <v>0</v>
      </c>
    </row>
    <row r="17" spans="1:9" x14ac:dyDescent="0.2">
      <c r="A17" s="71">
        <v>3</v>
      </c>
      <c r="B17" s="25" t="str">
        <f t="shared" ref="B17:B22" si="0">IF(A17=0,0,CONCATENATE("Lt-",A17))</f>
        <v>Lt-3</v>
      </c>
      <c r="C17" s="251" t="str">
        <f>'3a'!C2:I2</f>
        <v>Fasādes siltināšana un apdare</v>
      </c>
      <c r="D17" s="252"/>
      <c r="E17" s="59">
        <f>'3a'!P81</f>
        <v>0</v>
      </c>
      <c r="F17" s="44">
        <f>'3a'!M81</f>
        <v>0</v>
      </c>
      <c r="G17" s="55">
        <f>'3a'!N81</f>
        <v>0</v>
      </c>
      <c r="H17" s="55">
        <f>'3a'!O81</f>
        <v>0</v>
      </c>
      <c r="I17" s="56">
        <f>'3a'!L81</f>
        <v>0</v>
      </c>
    </row>
    <row r="18" spans="1:9" ht="11.25" customHeight="1" x14ac:dyDescent="0.2">
      <c r="A18" s="71">
        <v>4</v>
      </c>
      <c r="B18" s="25" t="str">
        <f t="shared" si="0"/>
        <v>Lt-4</v>
      </c>
      <c r="C18" s="251" t="str">
        <f>'4a'!C2:I2</f>
        <v>Cokols</v>
      </c>
      <c r="D18" s="252"/>
      <c r="E18" s="59">
        <f>'4a'!P65</f>
        <v>0</v>
      </c>
      <c r="F18" s="44">
        <f>'4a'!M65</f>
        <v>0</v>
      </c>
      <c r="G18" s="55">
        <f>'4a'!N65</f>
        <v>0</v>
      </c>
      <c r="H18" s="55">
        <f>'4a'!O65</f>
        <v>0</v>
      </c>
      <c r="I18" s="56">
        <f>'4a'!L65</f>
        <v>0</v>
      </c>
    </row>
    <row r="19" spans="1:9" x14ac:dyDescent="0.2">
      <c r="A19" s="71">
        <v>5</v>
      </c>
      <c r="B19" s="25" t="str">
        <f t="shared" si="0"/>
        <v>Lt-5</v>
      </c>
      <c r="C19" s="251" t="str">
        <f>'5a'!C2:I2</f>
        <v>Durvju un logu bloku montāža</v>
      </c>
      <c r="D19" s="252"/>
      <c r="E19" s="59">
        <f>'5a'!P40</f>
        <v>0</v>
      </c>
      <c r="F19" s="44">
        <f>'5a'!M40</f>
        <v>0</v>
      </c>
      <c r="G19" s="55">
        <f>'5a'!N40</f>
        <v>0</v>
      </c>
      <c r="H19" s="55">
        <f>'5a'!O40</f>
        <v>0</v>
      </c>
      <c r="I19" s="56">
        <f>'5a'!L40</f>
        <v>0</v>
      </c>
    </row>
    <row r="20" spans="1:9" x14ac:dyDescent="0.2">
      <c r="A20" s="71">
        <v>6</v>
      </c>
      <c r="B20" s="25" t="str">
        <f t="shared" si="0"/>
        <v>Lt-6</v>
      </c>
      <c r="C20" s="251" t="str">
        <f>'6a'!C2:I2</f>
        <v>Pagraba griestu siltinašana</v>
      </c>
      <c r="D20" s="252"/>
      <c r="E20" s="59">
        <f>'6a'!P29</f>
        <v>0</v>
      </c>
      <c r="F20" s="44">
        <f>'6a'!M29</f>
        <v>0</v>
      </c>
      <c r="G20" s="55">
        <f>'6a'!N29</f>
        <v>0</v>
      </c>
      <c r="H20" s="55">
        <f>'6a'!O29</f>
        <v>0</v>
      </c>
      <c r="I20" s="56">
        <f>'6a'!L29</f>
        <v>0</v>
      </c>
    </row>
    <row r="21" spans="1:9" x14ac:dyDescent="0.2">
      <c r="A21" s="71">
        <v>7</v>
      </c>
      <c r="B21" s="25" t="str">
        <f t="shared" si="0"/>
        <v>Lt-7</v>
      </c>
      <c r="C21" s="251" t="str">
        <f>'7a'!C2:I2</f>
        <v>Kāpņu telpu kosmētiskais remonts</v>
      </c>
      <c r="D21" s="252"/>
      <c r="E21" s="59">
        <f>'7a'!P52</f>
        <v>0</v>
      </c>
      <c r="F21" s="44">
        <f>'7a'!M52</f>
        <v>0</v>
      </c>
      <c r="G21" s="55">
        <f>'7a'!N52</f>
        <v>0</v>
      </c>
      <c r="H21" s="55">
        <f>'7a'!O52</f>
        <v>0</v>
      </c>
      <c r="I21" s="56">
        <f>'7a'!L52</f>
        <v>0</v>
      </c>
    </row>
    <row r="22" spans="1:9" ht="10.8" thickBot="1" x14ac:dyDescent="0.25">
      <c r="A22" s="71">
        <v>8</v>
      </c>
      <c r="B22" s="25" t="str">
        <f t="shared" si="0"/>
        <v>Lt-8</v>
      </c>
      <c r="C22" s="251" t="str">
        <f>'8a'!C2:I2</f>
        <v>Apkures siltķermeņu demontāža, jaunu montāža uzstādot termoregulējošos ventiļus</v>
      </c>
      <c r="D22" s="252"/>
      <c r="E22" s="59">
        <f>'8a'!P41</f>
        <v>0</v>
      </c>
      <c r="F22" s="44">
        <f>'8a'!M41</f>
        <v>0</v>
      </c>
      <c r="G22" s="55">
        <f>'8a'!N41</f>
        <v>0</v>
      </c>
      <c r="H22" s="55">
        <f>'8a'!O41</f>
        <v>0</v>
      </c>
      <c r="I22" s="56">
        <f>'8a'!L41</f>
        <v>0</v>
      </c>
    </row>
    <row r="23" spans="1:9" ht="10.8" thickBot="1" x14ac:dyDescent="0.25">
      <c r="A23" s="237" t="s">
        <v>32</v>
      </c>
      <c r="B23" s="238"/>
      <c r="C23" s="238"/>
      <c r="D23" s="238"/>
      <c r="E23" s="39">
        <f>SUM(E15:E22)</f>
        <v>0</v>
      </c>
      <c r="F23" s="38">
        <f>SUM(F15:F22)</f>
        <v>0</v>
      </c>
      <c r="G23" s="38">
        <f>SUM(G15:G22)</f>
        <v>0</v>
      </c>
      <c r="H23" s="38">
        <f>SUM(H15:H22)</f>
        <v>0</v>
      </c>
      <c r="I23" s="39">
        <f>SUM(I15:I22)</f>
        <v>0</v>
      </c>
    </row>
    <row r="24" spans="1:9" x14ac:dyDescent="0.2">
      <c r="A24" s="239" t="s">
        <v>33</v>
      </c>
      <c r="B24" s="240"/>
      <c r="C24" s="241"/>
      <c r="D24" s="67"/>
      <c r="E24" s="40">
        <f>ROUND(E23*$D24,2)</f>
        <v>0</v>
      </c>
      <c r="F24" s="41"/>
      <c r="G24" s="41"/>
      <c r="H24" s="41"/>
      <c r="I24" s="41"/>
    </row>
    <row r="25" spans="1:9" x14ac:dyDescent="0.2">
      <c r="A25" s="242" t="s">
        <v>34</v>
      </c>
      <c r="B25" s="243"/>
      <c r="C25" s="244"/>
      <c r="D25" s="68"/>
      <c r="E25" s="42">
        <f>ROUND(E24*$D25,2)</f>
        <v>0</v>
      </c>
      <c r="F25" s="41"/>
      <c r="G25" s="41"/>
      <c r="H25" s="41"/>
      <c r="I25" s="41"/>
    </row>
    <row r="26" spans="1:9" x14ac:dyDescent="0.2">
      <c r="A26" s="245" t="s">
        <v>35</v>
      </c>
      <c r="B26" s="246"/>
      <c r="C26" s="247"/>
      <c r="D26" s="69"/>
      <c r="E26" s="42">
        <f>ROUND(E23*$D26,2)</f>
        <v>0</v>
      </c>
      <c r="F26" s="41"/>
      <c r="G26" s="41"/>
      <c r="H26" s="41"/>
      <c r="I26" s="41"/>
    </row>
    <row r="27" spans="1:9" ht="10.8" thickBot="1" x14ac:dyDescent="0.25">
      <c r="A27" s="248" t="s">
        <v>36</v>
      </c>
      <c r="B27" s="249"/>
      <c r="C27" s="250"/>
      <c r="D27" s="22"/>
      <c r="E27" s="43">
        <f>SUM(E23:E26)-E25</f>
        <v>0</v>
      </c>
      <c r="F27" s="41"/>
      <c r="G27" s="41"/>
      <c r="H27" s="41"/>
      <c r="I27" s="41"/>
    </row>
    <row r="28" spans="1:9" x14ac:dyDescent="0.2">
      <c r="G28" s="21"/>
    </row>
    <row r="29" spans="1:9" x14ac:dyDescent="0.2">
      <c r="C29" s="17"/>
      <c r="D29" s="17"/>
      <c r="E29" s="17"/>
      <c r="F29" s="23"/>
      <c r="G29" s="23"/>
      <c r="H29" s="23"/>
      <c r="I29" s="23"/>
    </row>
    <row r="32" spans="1:9" x14ac:dyDescent="0.2">
      <c r="A32" s="1" t="s">
        <v>14</v>
      </c>
      <c r="B32" s="17"/>
      <c r="C32" s="236"/>
      <c r="D32" s="236"/>
      <c r="E32" s="236"/>
      <c r="F32" s="236"/>
      <c r="G32" s="236"/>
      <c r="H32" s="236"/>
    </row>
    <row r="33" spans="1:8" x14ac:dyDescent="0.2">
      <c r="A33" s="17"/>
      <c r="B33" s="17"/>
      <c r="C33" s="231" t="s">
        <v>15</v>
      </c>
      <c r="D33" s="231"/>
      <c r="E33" s="231"/>
      <c r="F33" s="231"/>
      <c r="G33" s="231"/>
      <c r="H33" s="231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83" t="str">
        <f>'Kopt a'!A36</f>
        <v>Tāme sastādīta</v>
      </c>
      <c r="B35" s="84"/>
      <c r="C35" s="84"/>
      <c r="D35" s="84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" t="s">
        <v>37</v>
      </c>
      <c r="B37" s="17"/>
      <c r="C37" s="236"/>
      <c r="D37" s="236"/>
      <c r="E37" s="236"/>
      <c r="F37" s="236"/>
      <c r="G37" s="236"/>
      <c r="H37" s="236"/>
    </row>
    <row r="38" spans="1:8" x14ac:dyDescent="0.2">
      <c r="A38" s="17"/>
      <c r="B38" s="17"/>
      <c r="C38" s="231" t="s">
        <v>15</v>
      </c>
      <c r="D38" s="231"/>
      <c r="E38" s="231"/>
      <c r="F38" s="231"/>
      <c r="G38" s="231"/>
      <c r="H38" s="231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83" t="s">
        <v>53</v>
      </c>
      <c r="B40" s="84"/>
      <c r="C40" s="89"/>
      <c r="D40" s="84"/>
      <c r="F40" s="17"/>
      <c r="G40" s="17"/>
      <c r="H40" s="17"/>
    </row>
    <row r="50" spans="5:9" x14ac:dyDescent="0.2">
      <c r="E50" s="21"/>
      <c r="F50" s="21"/>
      <c r="G50" s="21"/>
      <c r="H50" s="21"/>
      <c r="I50" s="21"/>
    </row>
  </sheetData>
  <mergeCells count="37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C15:D15"/>
    <mergeCell ref="C16:D16"/>
    <mergeCell ref="C17:D17"/>
    <mergeCell ref="C18:D18"/>
    <mergeCell ref="C21:D21"/>
    <mergeCell ref="C22:D22"/>
    <mergeCell ref="C20:D20"/>
    <mergeCell ref="A13:A14"/>
    <mergeCell ref="B13:B14"/>
    <mergeCell ref="C13:D14"/>
    <mergeCell ref="C19:D19"/>
    <mergeCell ref="C32:H32"/>
    <mergeCell ref="C33:H33"/>
    <mergeCell ref="C37:H37"/>
    <mergeCell ref="C38:H38"/>
    <mergeCell ref="A23:D23"/>
    <mergeCell ref="A24:C24"/>
    <mergeCell ref="A25:C25"/>
    <mergeCell ref="A26:C26"/>
    <mergeCell ref="A27:C27"/>
  </mergeCells>
  <conditionalFormatting sqref="E23:I23">
    <cfRule type="cellIs" dxfId="164" priority="19" operator="equal">
      <formula>0</formula>
    </cfRule>
  </conditionalFormatting>
  <conditionalFormatting sqref="D10:E11">
    <cfRule type="cellIs" dxfId="163" priority="18" operator="equal">
      <formula>0</formula>
    </cfRule>
  </conditionalFormatting>
  <conditionalFormatting sqref="E15 C15:D22 E24:E27 I15:I22">
    <cfRule type="cellIs" dxfId="162" priority="16" operator="equal">
      <formula>0</formula>
    </cfRule>
  </conditionalFormatting>
  <conditionalFormatting sqref="D24:D26">
    <cfRule type="cellIs" dxfId="161" priority="14" operator="equal">
      <formula>0</formula>
    </cfRule>
  </conditionalFormatting>
  <conditionalFormatting sqref="C37:H37">
    <cfRule type="cellIs" dxfId="160" priority="11" operator="equal">
      <formula>0</formula>
    </cfRule>
  </conditionalFormatting>
  <conditionalFormatting sqref="C32:H32">
    <cfRule type="cellIs" dxfId="159" priority="10" operator="equal">
      <formula>0</formula>
    </cfRule>
  </conditionalFormatting>
  <conditionalFormatting sqref="E15:E22">
    <cfRule type="cellIs" dxfId="158" priority="8" operator="equal">
      <formula>0</formula>
    </cfRule>
  </conditionalFormatting>
  <conditionalFormatting sqref="F15:I22">
    <cfRule type="cellIs" dxfId="157" priority="7" operator="equal">
      <formula>0</formula>
    </cfRule>
  </conditionalFormatting>
  <conditionalFormatting sqref="D6:I9">
    <cfRule type="cellIs" dxfId="156" priority="6" operator="equal">
      <formula>0</formula>
    </cfRule>
  </conditionalFormatting>
  <conditionalFormatting sqref="C40">
    <cfRule type="cellIs" dxfId="155" priority="4" operator="equal">
      <formula>0</formula>
    </cfRule>
  </conditionalFormatting>
  <conditionalFormatting sqref="B15:B22">
    <cfRule type="cellIs" dxfId="154" priority="3" operator="equal">
      <formula>0</formula>
    </cfRule>
  </conditionalFormatting>
  <conditionalFormatting sqref="A15:A22">
    <cfRule type="cellIs" dxfId="153" priority="1" operator="equal">
      <formula>0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42"/>
  <sheetViews>
    <sheetView topLeftCell="A16" zoomScaleNormal="100" workbookViewId="0">
      <selection activeCell="C41" sqref="C41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9" width="6.6640625" style="1" customWidth="1"/>
    <col min="10" max="10" width="5.109375" style="1" customWidth="1"/>
    <col min="11" max="11" width="4.77734375" style="1" customWidth="1"/>
    <col min="12" max="12" width="5.109375" style="1" customWidth="1"/>
    <col min="13" max="13" width="5.77734375" style="1" customWidth="1"/>
    <col min="14" max="14" width="5.33203125" style="1" customWidth="1"/>
    <col min="15" max="16" width="4.77734375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v>1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58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ht="11.25" customHeight="1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59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P30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5" t="str">
        <f>A36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3.2" x14ac:dyDescent="0.2">
      <c r="A14" s="90"/>
      <c r="B14" s="91"/>
      <c r="C14" s="92" t="s">
        <v>60</v>
      </c>
      <c r="D14" s="93"/>
      <c r="E14" s="94"/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6.4" x14ac:dyDescent="0.2">
      <c r="A15" s="90">
        <v>1</v>
      </c>
      <c r="B15" s="91" t="s">
        <v>61</v>
      </c>
      <c r="C15" s="95" t="s">
        <v>62</v>
      </c>
      <c r="D15" s="93" t="s">
        <v>63</v>
      </c>
      <c r="E15" s="94">
        <v>246</v>
      </c>
      <c r="F15" s="63"/>
      <c r="G15" s="61"/>
      <c r="H15" s="45">
        <f t="shared" ref="H15:H29" si="0">ROUND(F15*G15,2)</f>
        <v>0</v>
      </c>
      <c r="I15" s="61"/>
      <c r="J15" s="61"/>
      <c r="K15" s="46">
        <f t="shared" ref="K15:K29" si="1">SUM(H15:J15)</f>
        <v>0</v>
      </c>
      <c r="L15" s="47">
        <f t="shared" ref="L15:L29" si="2">ROUND(E15*F15,2)</f>
        <v>0</v>
      </c>
      <c r="M15" s="45">
        <f t="shared" ref="M15:M29" si="3">ROUND(H15*E15,2)</f>
        <v>0</v>
      </c>
      <c r="N15" s="45">
        <f t="shared" ref="N15:N29" si="4">ROUND(I15*E15,2)</f>
        <v>0</v>
      </c>
      <c r="O15" s="45">
        <f t="shared" ref="O15:O29" si="5">ROUND(J15*E15,2)</f>
        <v>0</v>
      </c>
      <c r="P15" s="46">
        <f t="shared" ref="P15:P29" si="6">SUM(M15:O15)</f>
        <v>0</v>
      </c>
    </row>
    <row r="16" spans="1:16" ht="13.2" x14ac:dyDescent="0.2">
      <c r="A16" s="90"/>
      <c r="B16" s="91"/>
      <c r="C16" s="95" t="s">
        <v>64</v>
      </c>
      <c r="D16" s="93" t="s">
        <v>66</v>
      </c>
      <c r="E16" s="94">
        <v>1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39.6" x14ac:dyDescent="0.2">
      <c r="A17" s="90">
        <f>A15+1</f>
        <v>2</v>
      </c>
      <c r="B17" s="91" t="s">
        <v>61</v>
      </c>
      <c r="C17" s="95" t="s">
        <v>65</v>
      </c>
      <c r="D17" s="93" t="s">
        <v>66</v>
      </c>
      <c r="E17" s="94">
        <v>4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3.2" x14ac:dyDescent="0.2">
      <c r="A18" s="90"/>
      <c r="B18" s="91"/>
      <c r="C18" s="95" t="s">
        <v>67</v>
      </c>
      <c r="D18" s="93" t="s">
        <v>66</v>
      </c>
      <c r="E18" s="94">
        <v>1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3.2" x14ac:dyDescent="0.2">
      <c r="A19" s="90"/>
      <c r="B19" s="91"/>
      <c r="C19" s="95" t="s">
        <v>68</v>
      </c>
      <c r="D19" s="93" t="s">
        <v>66</v>
      </c>
      <c r="E19" s="94">
        <v>1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3.2" x14ac:dyDescent="0.2">
      <c r="A20" s="90"/>
      <c r="B20" s="91"/>
      <c r="C20" s="95" t="s">
        <v>69</v>
      </c>
      <c r="D20" s="93" t="s">
        <v>66</v>
      </c>
      <c r="E20" s="94">
        <v>1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3.2" x14ac:dyDescent="0.2">
      <c r="A21" s="90"/>
      <c r="B21" s="91"/>
      <c r="C21" s="95" t="s">
        <v>70</v>
      </c>
      <c r="D21" s="93" t="s">
        <v>66</v>
      </c>
      <c r="E21" s="94">
        <v>1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6.4" x14ac:dyDescent="0.2">
      <c r="A22" s="96">
        <f>A17+1</f>
        <v>3</v>
      </c>
      <c r="B22" s="97" t="s">
        <v>61</v>
      </c>
      <c r="C22" s="98" t="s">
        <v>71</v>
      </c>
      <c r="D22" s="99" t="s">
        <v>72</v>
      </c>
      <c r="E22" s="102">
        <v>8</v>
      </c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13.2" x14ac:dyDescent="0.2">
      <c r="A23" s="90">
        <v>4</v>
      </c>
      <c r="B23" s="97" t="s">
        <v>61</v>
      </c>
      <c r="C23" s="95" t="s">
        <v>73</v>
      </c>
      <c r="D23" s="93" t="s">
        <v>66</v>
      </c>
      <c r="E23" s="94">
        <v>1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3.2" x14ac:dyDescent="0.2">
      <c r="A24" s="90">
        <f>A23+1</f>
        <v>5</v>
      </c>
      <c r="B24" s="97" t="s">
        <v>61</v>
      </c>
      <c r="C24" s="95" t="s">
        <v>74</v>
      </c>
      <c r="D24" s="93" t="s">
        <v>66</v>
      </c>
      <c r="E24" s="94">
        <v>1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3.2" x14ac:dyDescent="0.25">
      <c r="A25" s="96">
        <v>6</v>
      </c>
      <c r="B25" s="97" t="s">
        <v>61</v>
      </c>
      <c r="C25" s="100" t="s">
        <v>75</v>
      </c>
      <c r="D25" s="101" t="s">
        <v>76</v>
      </c>
      <c r="E25" s="103">
        <v>1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26.4" x14ac:dyDescent="0.2">
      <c r="A26" s="90">
        <v>7</v>
      </c>
      <c r="B26" s="97" t="s">
        <v>61</v>
      </c>
      <c r="C26" s="95" t="s">
        <v>77</v>
      </c>
      <c r="D26" s="93" t="s">
        <v>78</v>
      </c>
      <c r="E26" s="94">
        <v>1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3.2" x14ac:dyDescent="0.2">
      <c r="A27" s="90">
        <v>8</v>
      </c>
      <c r="B27" s="97" t="s">
        <v>61</v>
      </c>
      <c r="C27" s="95" t="s">
        <v>79</v>
      </c>
      <c r="D27" s="93" t="s">
        <v>76</v>
      </c>
      <c r="E27" s="94">
        <v>6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3.2" x14ac:dyDescent="0.2">
      <c r="A28" s="96">
        <v>9</v>
      </c>
      <c r="B28" s="97" t="s">
        <v>61</v>
      </c>
      <c r="C28" s="95" t="s">
        <v>80</v>
      </c>
      <c r="D28" s="93" t="s">
        <v>66</v>
      </c>
      <c r="E28" s="94">
        <v>1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3.8" thickBot="1" x14ac:dyDescent="0.25">
      <c r="A29" s="90">
        <v>10</v>
      </c>
      <c r="B29" s="97" t="s">
        <v>61</v>
      </c>
      <c r="C29" s="95" t="s">
        <v>81</v>
      </c>
      <c r="D29" s="93" t="s">
        <v>66</v>
      </c>
      <c r="E29" s="104">
        <v>1</v>
      </c>
      <c r="F29" s="63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0.8" thickBot="1" x14ac:dyDescent="0.25">
      <c r="A30" s="280" t="s">
        <v>243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2"/>
      <c r="L30" s="64">
        <f>SUM(L14:L29)</f>
        <v>0</v>
      </c>
      <c r="M30" s="65">
        <f>SUM(M14:M29)</f>
        <v>0</v>
      </c>
      <c r="N30" s="65">
        <f>SUM(N14:N29)</f>
        <v>0</v>
      </c>
      <c r="O30" s="65">
        <f>SUM(O14:O29)</f>
        <v>0</v>
      </c>
      <c r="P30" s="66">
        <f>SUM(P14:P29)</f>
        <v>0</v>
      </c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14</v>
      </c>
      <c r="B33" s="17"/>
      <c r="C33" s="279"/>
      <c r="D33" s="279"/>
      <c r="E33" s="279"/>
      <c r="F33" s="279"/>
      <c r="G33" s="279"/>
      <c r="H33" s="279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231" t="s">
        <v>15</v>
      </c>
      <c r="D34" s="231"/>
      <c r="E34" s="231"/>
      <c r="F34" s="231"/>
      <c r="G34" s="231"/>
      <c r="H34" s="231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3" t="str">
        <f>'Kops a'!A35</f>
        <v>Tāme sastādīta</v>
      </c>
      <c r="B36" s="84"/>
      <c r="C36" s="84"/>
      <c r="D36" s="8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37</v>
      </c>
      <c r="B38" s="17"/>
      <c r="C38" s="279"/>
      <c r="D38" s="279"/>
      <c r="E38" s="279"/>
      <c r="F38" s="279"/>
      <c r="G38" s="279"/>
      <c r="H38" s="279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231" t="s">
        <v>15</v>
      </c>
      <c r="D39" s="231"/>
      <c r="E39" s="231"/>
      <c r="F39" s="231"/>
      <c r="G39" s="231"/>
      <c r="H39" s="231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3" t="s">
        <v>54</v>
      </c>
      <c r="B41" s="84"/>
      <c r="C41" s="88"/>
      <c r="D41" s="4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38:H38"/>
    <mergeCell ref="C39:H39"/>
    <mergeCell ref="C33:H33"/>
    <mergeCell ref="C34:H34"/>
    <mergeCell ref="A30:K30"/>
  </mergeCells>
  <conditionalFormatting sqref="I14:J29 A14:G29">
    <cfRule type="cellIs" dxfId="150" priority="19" operator="equal">
      <formula>0</formula>
    </cfRule>
  </conditionalFormatting>
  <conditionalFormatting sqref="N9:O9 H14:H29 K14:P29">
    <cfRule type="cellIs" dxfId="149" priority="17" operator="equal">
      <formula>0</formula>
    </cfRule>
  </conditionalFormatting>
  <conditionalFormatting sqref="A9:F9">
    <cfRule type="containsText" dxfId="148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7" priority="14" operator="equal">
      <formula>0</formula>
    </cfRule>
  </conditionalFormatting>
  <conditionalFormatting sqref="O10:P10">
    <cfRule type="cellIs" dxfId="146" priority="13" operator="equal">
      <formula>"20__. gada __. _________"</formula>
    </cfRule>
  </conditionalFormatting>
  <conditionalFormatting sqref="A30:K30">
    <cfRule type="containsText" dxfId="145" priority="11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C38:H38">
    <cfRule type="cellIs" dxfId="144" priority="8" operator="equal">
      <formula>0</formula>
    </cfRule>
  </conditionalFormatting>
  <conditionalFormatting sqref="C33:H33">
    <cfRule type="cellIs" dxfId="143" priority="7" operator="equal">
      <formula>0</formula>
    </cfRule>
  </conditionalFormatting>
  <conditionalFormatting sqref="L30:P30">
    <cfRule type="cellIs" dxfId="142" priority="6" operator="equal">
      <formula>0</formula>
    </cfRule>
  </conditionalFormatting>
  <conditionalFormatting sqref="C4:I4">
    <cfRule type="cellIs" dxfId="141" priority="5" operator="equal">
      <formula>0</formula>
    </cfRule>
  </conditionalFormatting>
  <conditionalFormatting sqref="D5:L8">
    <cfRule type="cellIs" dxfId="140" priority="3" operator="equal">
      <formula>0</formula>
    </cfRule>
  </conditionalFormatting>
  <conditionalFormatting sqref="C38:H38 C41 C33:H33">
    <cfRule type="cellIs" dxfId="139" priority="2" operator="equal">
      <formula>0</formula>
    </cfRule>
  </conditionalFormatting>
  <conditionalFormatting sqref="D1">
    <cfRule type="cellIs" dxfId="138" priority="1" operator="equal">
      <formula>0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pageSetUpPr fitToPage="1"/>
  </sheetPr>
  <dimension ref="A1:P73"/>
  <sheetViews>
    <sheetView topLeftCell="A13" workbookViewId="0">
      <selection activeCell="A9" sqref="A9:F9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8" width="6.6640625" style="1" customWidth="1"/>
    <col min="9" max="9" width="5" style="1" customWidth="1"/>
    <col min="10" max="10" width="4.44140625" style="1" customWidth="1"/>
    <col min="11" max="11" width="3.6640625" style="1" customWidth="1"/>
    <col min="12" max="12" width="5.109375" style="1" customWidth="1"/>
    <col min="13" max="13" width="4.44140625" style="1" customWidth="1"/>
    <col min="14" max="14" width="5.109375" style="1" customWidth="1"/>
    <col min="15" max="15" width="3.6640625" style="1" customWidth="1"/>
    <col min="16" max="16" width="4.33203125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v>2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147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148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P61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A67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39.6" x14ac:dyDescent="0.2">
      <c r="A14" s="105" t="s">
        <v>82</v>
      </c>
      <c r="B14" s="162" t="s">
        <v>83</v>
      </c>
      <c r="C14" s="95" t="s">
        <v>84</v>
      </c>
      <c r="D14" s="93" t="s">
        <v>85</v>
      </c>
      <c r="E14" s="106">
        <v>30</v>
      </c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13.2" x14ac:dyDescent="0.2">
      <c r="A15" s="105"/>
      <c r="B15" s="93"/>
      <c r="C15" s="107" t="s">
        <v>86</v>
      </c>
      <c r="D15" s="93" t="s">
        <v>87</v>
      </c>
      <c r="E15" s="108">
        <f>E14*0.18</f>
        <v>5.3999999999999995</v>
      </c>
      <c r="F15" s="63"/>
      <c r="G15" s="61"/>
      <c r="H15" s="45">
        <f t="shared" ref="H15:H60" si="0">ROUND(F15*G15,2)</f>
        <v>0</v>
      </c>
      <c r="I15" s="61"/>
      <c r="J15" s="61"/>
      <c r="K15" s="46">
        <f t="shared" ref="K15:K60" si="1">SUM(H15:J15)</f>
        <v>0</v>
      </c>
      <c r="L15" s="47">
        <f t="shared" ref="L15:L60" si="2">ROUND(E15*F15,2)</f>
        <v>0</v>
      </c>
      <c r="M15" s="45">
        <f t="shared" ref="M15:M60" si="3">ROUND(H15*E15,2)</f>
        <v>0</v>
      </c>
      <c r="N15" s="45">
        <f t="shared" ref="N15:N60" si="4">ROUND(I15*E15,2)</f>
        <v>0</v>
      </c>
      <c r="O15" s="45">
        <f t="shared" ref="O15:O60" si="5">ROUND(J15*E15,2)</f>
        <v>0</v>
      </c>
      <c r="P15" s="46">
        <f t="shared" ref="P15:P60" si="6">SUM(M15:O15)</f>
        <v>0</v>
      </c>
    </row>
    <row r="16" spans="1:16" ht="13.2" x14ac:dyDescent="0.2">
      <c r="A16" s="105"/>
      <c r="B16" s="93"/>
      <c r="C16" s="107" t="s">
        <v>88</v>
      </c>
      <c r="D16" s="93" t="s">
        <v>87</v>
      </c>
      <c r="E16" s="108">
        <f>E14*0.3</f>
        <v>9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39.6" x14ac:dyDescent="0.25">
      <c r="A17" s="105" t="s">
        <v>89</v>
      </c>
      <c r="B17" s="109" t="s">
        <v>90</v>
      </c>
      <c r="C17" s="110" t="s">
        <v>91</v>
      </c>
      <c r="D17" s="111" t="s">
        <v>92</v>
      </c>
      <c r="E17" s="112">
        <v>12.8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39.6" x14ac:dyDescent="0.25">
      <c r="A18" s="113" t="s">
        <v>93</v>
      </c>
      <c r="B18" s="114" t="s">
        <v>94</v>
      </c>
      <c r="C18" s="115" t="s">
        <v>95</v>
      </c>
      <c r="D18" s="116" t="s">
        <v>76</v>
      </c>
      <c r="E18" s="117">
        <v>17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39.6" x14ac:dyDescent="0.25">
      <c r="A19" s="118" t="s">
        <v>96</v>
      </c>
      <c r="B19" s="118" t="s">
        <v>90</v>
      </c>
      <c r="C19" s="119" t="s">
        <v>97</v>
      </c>
      <c r="D19" s="120" t="s">
        <v>63</v>
      </c>
      <c r="E19" s="121">
        <v>150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3.2" x14ac:dyDescent="0.25">
      <c r="A20" s="118"/>
      <c r="B20" s="118"/>
      <c r="C20" s="119" t="s">
        <v>98</v>
      </c>
      <c r="D20" s="120" t="s">
        <v>63</v>
      </c>
      <c r="E20" s="121">
        <v>23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3.2" x14ac:dyDescent="0.25">
      <c r="A21" s="118"/>
      <c r="B21" s="118"/>
      <c r="C21" s="119" t="s">
        <v>99</v>
      </c>
      <c r="D21" s="120" t="s">
        <v>63</v>
      </c>
      <c r="E21" s="121">
        <v>130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3.2" x14ac:dyDescent="0.25">
      <c r="A22" s="118"/>
      <c r="B22" s="118"/>
      <c r="C22" s="119" t="s">
        <v>100</v>
      </c>
      <c r="D22" s="120" t="s">
        <v>76</v>
      </c>
      <c r="E22" s="121">
        <v>38</v>
      </c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39.6" x14ac:dyDescent="0.25">
      <c r="A23" s="118"/>
      <c r="B23" s="118"/>
      <c r="C23" s="119" t="s">
        <v>101</v>
      </c>
      <c r="D23" s="120" t="s">
        <v>102</v>
      </c>
      <c r="E23" s="121">
        <v>1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39.6" x14ac:dyDescent="0.25">
      <c r="A24" s="113" t="s">
        <v>103</v>
      </c>
      <c r="B24" s="113" t="s">
        <v>90</v>
      </c>
      <c r="C24" s="122" t="s">
        <v>104</v>
      </c>
      <c r="D24" s="123" t="s">
        <v>105</v>
      </c>
      <c r="E24" s="124">
        <v>2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39.6" x14ac:dyDescent="0.25">
      <c r="A25" s="105" t="s">
        <v>106</v>
      </c>
      <c r="B25" s="125" t="s">
        <v>90</v>
      </c>
      <c r="C25" s="126" t="s">
        <v>107</v>
      </c>
      <c r="D25" s="127" t="s">
        <v>92</v>
      </c>
      <c r="E25" s="124">
        <v>705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3.2" x14ac:dyDescent="0.25">
      <c r="A26" s="105"/>
      <c r="B26" s="125"/>
      <c r="C26" s="126" t="s">
        <v>108</v>
      </c>
      <c r="D26" s="127" t="s">
        <v>109</v>
      </c>
      <c r="E26" s="124">
        <v>16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3.2" x14ac:dyDescent="0.25">
      <c r="A27" s="105"/>
      <c r="B27" s="125"/>
      <c r="C27" s="126" t="s">
        <v>110</v>
      </c>
      <c r="D27" s="127" t="s">
        <v>92</v>
      </c>
      <c r="E27" s="124">
        <v>150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3.2" x14ac:dyDescent="0.25">
      <c r="A28" s="105"/>
      <c r="B28" s="125"/>
      <c r="C28" s="126" t="s">
        <v>111</v>
      </c>
      <c r="D28" s="127" t="s">
        <v>76</v>
      </c>
      <c r="E28" s="128">
        <v>1300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39.6" x14ac:dyDescent="0.25">
      <c r="A29" s="105"/>
      <c r="B29" s="125"/>
      <c r="C29" s="126" t="s">
        <v>101</v>
      </c>
      <c r="D29" s="127" t="s">
        <v>102</v>
      </c>
      <c r="E29" s="124">
        <v>1</v>
      </c>
      <c r="F29" s="63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39.6" x14ac:dyDescent="0.25">
      <c r="A30" s="129" t="s">
        <v>112</v>
      </c>
      <c r="B30" s="129" t="s">
        <v>113</v>
      </c>
      <c r="C30" s="130" t="s">
        <v>114</v>
      </c>
      <c r="D30" s="131" t="s">
        <v>92</v>
      </c>
      <c r="E30" s="132">
        <v>682</v>
      </c>
      <c r="F30" s="63"/>
      <c r="G30" s="61"/>
      <c r="H30" s="45">
        <f t="shared" si="0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26.4" x14ac:dyDescent="0.2">
      <c r="A31" s="129"/>
      <c r="B31" s="129"/>
      <c r="C31" s="133" t="s">
        <v>115</v>
      </c>
      <c r="D31" s="131" t="s">
        <v>109</v>
      </c>
      <c r="E31" s="132">
        <f>E30*0.25*1.1</f>
        <v>187.55</v>
      </c>
      <c r="F31" s="63"/>
      <c r="G31" s="61"/>
      <c r="H31" s="45">
        <f t="shared" si="0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39.6" x14ac:dyDescent="0.25">
      <c r="A32" s="113" t="s">
        <v>116</v>
      </c>
      <c r="B32" s="129" t="s">
        <v>117</v>
      </c>
      <c r="C32" s="134" t="s">
        <v>118</v>
      </c>
      <c r="D32" s="131" t="s">
        <v>92</v>
      </c>
      <c r="E32" s="132">
        <v>682</v>
      </c>
      <c r="F32" s="63"/>
      <c r="G32" s="61"/>
      <c r="H32" s="45">
        <f t="shared" si="0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13.2" x14ac:dyDescent="0.25">
      <c r="A33" s="135"/>
      <c r="B33" s="129"/>
      <c r="C33" s="136" t="s">
        <v>119</v>
      </c>
      <c r="D33" s="131" t="s">
        <v>92</v>
      </c>
      <c r="E33" s="132">
        <f>E32*1.1</f>
        <v>750.2</v>
      </c>
      <c r="F33" s="63"/>
      <c r="G33" s="61"/>
      <c r="H33" s="45">
        <f t="shared" si="0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13.2" x14ac:dyDescent="0.25">
      <c r="A34" s="135"/>
      <c r="B34" s="129"/>
      <c r="C34" s="136" t="s">
        <v>120</v>
      </c>
      <c r="D34" s="131" t="s">
        <v>105</v>
      </c>
      <c r="E34" s="137">
        <f>SUM(E32)*12</f>
        <v>8184</v>
      </c>
      <c r="F34" s="63"/>
      <c r="G34" s="61"/>
      <c r="H34" s="45">
        <f t="shared" si="0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26.4" x14ac:dyDescent="0.25">
      <c r="A35" s="113"/>
      <c r="B35" s="138"/>
      <c r="C35" s="139" t="s">
        <v>121</v>
      </c>
      <c r="D35" s="140"/>
      <c r="E35" s="141"/>
      <c r="F35" s="63"/>
      <c r="G35" s="61"/>
      <c r="H35" s="45">
        <f t="shared" si="0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39.6" x14ac:dyDescent="0.25">
      <c r="A36" s="113" t="s">
        <v>82</v>
      </c>
      <c r="B36" s="113" t="s">
        <v>122</v>
      </c>
      <c r="C36" s="142" t="s">
        <v>123</v>
      </c>
      <c r="D36" s="143" t="s">
        <v>92</v>
      </c>
      <c r="E36" s="159">
        <f>1.545*3*4+1.32*6.445*2+1.27*6.85+13.22*1.27*3+1.27*6.99+1.32*6.455*2+1.32*6.79+1.32*10.18</f>
        <v>142.94140000000002</v>
      </c>
      <c r="F36" s="63"/>
      <c r="G36" s="61"/>
      <c r="H36" s="45">
        <f t="shared" si="0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39.6" x14ac:dyDescent="0.25">
      <c r="A37" s="105" t="s">
        <v>89</v>
      </c>
      <c r="B37" s="105" t="s">
        <v>90</v>
      </c>
      <c r="C37" s="144" t="s">
        <v>124</v>
      </c>
      <c r="D37" s="145" t="s">
        <v>92</v>
      </c>
      <c r="E37" s="159">
        <f>E36</f>
        <v>142.94140000000002</v>
      </c>
      <c r="F37" s="63"/>
      <c r="G37" s="61"/>
      <c r="H37" s="45">
        <f t="shared" si="0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39.6" x14ac:dyDescent="0.25">
      <c r="A38" s="105" t="s">
        <v>93</v>
      </c>
      <c r="B38" s="105" t="s">
        <v>90</v>
      </c>
      <c r="C38" s="142" t="s">
        <v>125</v>
      </c>
      <c r="D38" s="146" t="s">
        <v>92</v>
      </c>
      <c r="E38" s="160">
        <f>E37*1</f>
        <v>142.94140000000002</v>
      </c>
      <c r="F38" s="63"/>
      <c r="G38" s="61"/>
      <c r="H38" s="45">
        <f t="shared" si="0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13.2" x14ac:dyDescent="0.25">
      <c r="A39" s="105"/>
      <c r="B39" s="105"/>
      <c r="C39" s="142" t="s">
        <v>126</v>
      </c>
      <c r="D39" s="146" t="s">
        <v>87</v>
      </c>
      <c r="E39" s="160">
        <f>E38*1.8*2</f>
        <v>514.58904000000007</v>
      </c>
      <c r="F39" s="63"/>
      <c r="G39" s="61"/>
      <c r="H39" s="45">
        <f t="shared" si="0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39.6" x14ac:dyDescent="0.25">
      <c r="A40" s="105" t="s">
        <v>96</v>
      </c>
      <c r="B40" s="105" t="s">
        <v>90</v>
      </c>
      <c r="C40" s="142" t="s">
        <v>127</v>
      </c>
      <c r="D40" s="146" t="s">
        <v>92</v>
      </c>
      <c r="E40" s="160">
        <f>E38</f>
        <v>142.94140000000002</v>
      </c>
      <c r="F40" s="63"/>
      <c r="G40" s="61"/>
      <c r="H40" s="45">
        <f t="shared" si="0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13.2" x14ac:dyDescent="0.25">
      <c r="A41" s="105"/>
      <c r="B41" s="105"/>
      <c r="C41" s="142" t="s">
        <v>128</v>
      </c>
      <c r="D41" s="146" t="s">
        <v>87</v>
      </c>
      <c r="E41" s="160">
        <f>E40*0.8</f>
        <v>114.35312000000002</v>
      </c>
      <c r="F41" s="63"/>
      <c r="G41" s="61"/>
      <c r="H41" s="45">
        <f t="shared" si="0"/>
        <v>0</v>
      </c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39.6" x14ac:dyDescent="0.25">
      <c r="A42" s="105" t="s">
        <v>103</v>
      </c>
      <c r="B42" s="105" t="s">
        <v>83</v>
      </c>
      <c r="C42" s="110" t="s">
        <v>129</v>
      </c>
      <c r="D42" s="148" t="s">
        <v>92</v>
      </c>
      <c r="E42" s="161">
        <f>1.32*6.455*2+1.545*3*4</f>
        <v>35.581199999999995</v>
      </c>
      <c r="F42" s="63"/>
      <c r="G42" s="61"/>
      <c r="H42" s="45">
        <f t="shared" si="0"/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13.2" x14ac:dyDescent="0.2">
      <c r="A43" s="105"/>
      <c r="B43" s="105"/>
      <c r="C43" s="107" t="s">
        <v>86</v>
      </c>
      <c r="D43" s="93" t="s">
        <v>87</v>
      </c>
      <c r="E43" s="106">
        <f>E42*0.18</f>
        <v>6.404615999999999</v>
      </c>
      <c r="F43" s="63"/>
      <c r="G43" s="61"/>
      <c r="H43" s="45">
        <f t="shared" si="0"/>
        <v>0</v>
      </c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13.2" x14ac:dyDescent="0.2">
      <c r="A44" s="105"/>
      <c r="B44" s="105"/>
      <c r="C44" s="107" t="s">
        <v>88</v>
      </c>
      <c r="D44" s="93" t="s">
        <v>87</v>
      </c>
      <c r="E44" s="106">
        <f>E42*0.3</f>
        <v>10.674359999999998</v>
      </c>
      <c r="F44" s="63"/>
      <c r="G44" s="61"/>
      <c r="H44" s="45">
        <f t="shared" si="0"/>
        <v>0</v>
      </c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39.6" x14ac:dyDescent="0.25">
      <c r="A45" s="105" t="s">
        <v>106</v>
      </c>
      <c r="B45" s="145" t="s">
        <v>113</v>
      </c>
      <c r="C45" s="150" t="s">
        <v>130</v>
      </c>
      <c r="D45" s="146" t="s">
        <v>92</v>
      </c>
      <c r="E45" s="147">
        <f>1.27*6.85+13.22*1.27*3+1.27*6.99+1.32*6.455*2+1.32*6.79+1.32*10.18</f>
        <v>107.38660000000002</v>
      </c>
      <c r="F45" s="63"/>
      <c r="G45" s="61"/>
      <c r="H45" s="45">
        <f t="shared" si="0"/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ht="26.4" x14ac:dyDescent="0.25">
      <c r="A46" s="105"/>
      <c r="B46" s="149"/>
      <c r="C46" s="150" t="s">
        <v>131</v>
      </c>
      <c r="D46" s="146" t="s">
        <v>92</v>
      </c>
      <c r="E46" s="147">
        <f>SUM(E45)*1.05</f>
        <v>112.75593000000002</v>
      </c>
      <c r="F46" s="63"/>
      <c r="G46" s="61"/>
      <c r="H46" s="45">
        <f t="shared" si="0"/>
        <v>0</v>
      </c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ht="13.2" x14ac:dyDescent="0.25">
      <c r="A47" s="105"/>
      <c r="B47" s="149"/>
      <c r="C47" s="151" t="s">
        <v>132</v>
      </c>
      <c r="D47" s="145" t="s">
        <v>105</v>
      </c>
      <c r="E47" s="152">
        <f>SUM(E45)*5</f>
        <v>536.93300000000011</v>
      </c>
      <c r="F47" s="63"/>
      <c r="G47" s="61"/>
      <c r="H47" s="45">
        <f t="shared" si="0"/>
        <v>0</v>
      </c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39.6" x14ac:dyDescent="0.25">
      <c r="A48" s="105" t="s">
        <v>112</v>
      </c>
      <c r="B48" s="145" t="s">
        <v>90</v>
      </c>
      <c r="C48" s="144" t="s">
        <v>133</v>
      </c>
      <c r="D48" s="145" t="s">
        <v>92</v>
      </c>
      <c r="E48" s="154">
        <f>E45</f>
        <v>107.38660000000002</v>
      </c>
      <c r="F48" s="63"/>
      <c r="G48" s="61"/>
      <c r="H48" s="45">
        <f t="shared" si="0"/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26.4" x14ac:dyDescent="0.25">
      <c r="A49" s="105"/>
      <c r="B49" s="153"/>
      <c r="C49" s="107" t="s">
        <v>134</v>
      </c>
      <c r="D49" s="145" t="s">
        <v>92</v>
      </c>
      <c r="E49" s="154">
        <f>SUM(E48)*1.15</f>
        <v>123.49459</v>
      </c>
      <c r="F49" s="63"/>
      <c r="G49" s="61"/>
      <c r="H49" s="45">
        <f t="shared" si="0"/>
        <v>0</v>
      </c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26.4" x14ac:dyDescent="0.25">
      <c r="A50" s="105"/>
      <c r="B50" s="153"/>
      <c r="C50" s="107" t="s">
        <v>135</v>
      </c>
      <c r="D50" s="145" t="s">
        <v>92</v>
      </c>
      <c r="E50" s="154">
        <f>SUM(E48)*1.15</f>
        <v>123.49459</v>
      </c>
      <c r="F50" s="63"/>
      <c r="G50" s="61"/>
      <c r="H50" s="45">
        <f t="shared" si="0"/>
        <v>0</v>
      </c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13.2" x14ac:dyDescent="0.25">
      <c r="A51" s="105"/>
      <c r="B51" s="153"/>
      <c r="C51" s="107" t="s">
        <v>136</v>
      </c>
      <c r="D51" s="145" t="s">
        <v>92</v>
      </c>
      <c r="E51" s="154">
        <f>SUM(E48)</f>
        <v>107.38660000000002</v>
      </c>
      <c r="F51" s="63"/>
      <c r="G51" s="61"/>
      <c r="H51" s="45">
        <f t="shared" si="0"/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13.2" x14ac:dyDescent="0.25">
      <c r="A52" s="105"/>
      <c r="B52" s="153"/>
      <c r="C52" s="107" t="s">
        <v>101</v>
      </c>
      <c r="D52" s="145" t="s">
        <v>92</v>
      </c>
      <c r="E52" s="154">
        <f>SUM(E48)</f>
        <v>107.38660000000002</v>
      </c>
      <c r="F52" s="63"/>
      <c r="G52" s="61"/>
      <c r="H52" s="45">
        <f t="shared" si="0"/>
        <v>0</v>
      </c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39.6" x14ac:dyDescent="0.25">
      <c r="A53" s="105" t="s">
        <v>116</v>
      </c>
      <c r="B53" s="105" t="s">
        <v>90</v>
      </c>
      <c r="C53" s="155" t="s">
        <v>137</v>
      </c>
      <c r="D53" s="146" t="s">
        <v>138</v>
      </c>
      <c r="E53" s="147">
        <v>96</v>
      </c>
      <c r="F53" s="63"/>
      <c r="G53" s="61"/>
      <c r="H53" s="45">
        <f t="shared" si="0"/>
        <v>0</v>
      </c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ht="39.6" x14ac:dyDescent="0.25">
      <c r="A54" s="105" t="s">
        <v>139</v>
      </c>
      <c r="B54" s="105" t="s">
        <v>90</v>
      </c>
      <c r="C54" s="156" t="s">
        <v>97</v>
      </c>
      <c r="D54" s="157" t="s">
        <v>63</v>
      </c>
      <c r="E54" s="158">
        <v>125.22</v>
      </c>
      <c r="F54" s="63"/>
      <c r="G54" s="61"/>
      <c r="H54" s="45">
        <f t="shared" si="0"/>
        <v>0</v>
      </c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13.2" x14ac:dyDescent="0.25">
      <c r="A55" s="105"/>
      <c r="B55" s="105"/>
      <c r="C55" s="156" t="s">
        <v>140</v>
      </c>
      <c r="D55" s="157" t="s">
        <v>141</v>
      </c>
      <c r="E55" s="158">
        <v>137</v>
      </c>
      <c r="F55" s="63"/>
      <c r="G55" s="61"/>
      <c r="H55" s="45">
        <f t="shared" si="0"/>
        <v>0</v>
      </c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39.6" x14ac:dyDescent="0.25">
      <c r="A56" s="105"/>
      <c r="B56" s="105"/>
      <c r="C56" s="156" t="s">
        <v>101</v>
      </c>
      <c r="D56" s="157" t="s">
        <v>102</v>
      </c>
      <c r="E56" s="158">
        <v>1</v>
      </c>
      <c r="F56" s="63"/>
      <c r="G56" s="61"/>
      <c r="H56" s="45">
        <f t="shared" si="0"/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39.6" x14ac:dyDescent="0.25">
      <c r="A57" s="105" t="s">
        <v>142</v>
      </c>
      <c r="B57" s="105" t="s">
        <v>90</v>
      </c>
      <c r="C57" s="156" t="s">
        <v>143</v>
      </c>
      <c r="D57" s="157" t="s">
        <v>63</v>
      </c>
      <c r="E57" s="158">
        <f>E58+E59</f>
        <v>352.75</v>
      </c>
      <c r="F57" s="63"/>
      <c r="G57" s="61"/>
      <c r="H57" s="45">
        <f t="shared" si="0"/>
        <v>0</v>
      </c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13.2" x14ac:dyDescent="0.25">
      <c r="A58" s="105"/>
      <c r="B58" s="105"/>
      <c r="C58" s="156" t="s">
        <v>144</v>
      </c>
      <c r="D58" s="157" t="s">
        <v>141</v>
      </c>
      <c r="E58" s="158">
        <f>10*1.27+6.85+3*13.22+6.99+4*(3+2*1.545)+6*1.32+6.79+6.445+6.455+10.18</f>
        <v>128.35</v>
      </c>
      <c r="F58" s="63"/>
      <c r="G58" s="61"/>
      <c r="H58" s="45">
        <f t="shared" si="0"/>
        <v>0</v>
      </c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26.4" x14ac:dyDescent="0.25">
      <c r="A59" s="105"/>
      <c r="B59" s="105"/>
      <c r="C59" s="156" t="s">
        <v>145</v>
      </c>
      <c r="D59" s="157" t="s">
        <v>141</v>
      </c>
      <c r="E59" s="158">
        <f>14*15+4*3.6</f>
        <v>224.4</v>
      </c>
      <c r="F59" s="63"/>
      <c r="G59" s="61"/>
      <c r="H59" s="45">
        <f t="shared" si="0"/>
        <v>0</v>
      </c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40.200000000000003" thickBot="1" x14ac:dyDescent="0.3">
      <c r="A60" s="105"/>
      <c r="B60" s="105"/>
      <c r="C60" s="156" t="s">
        <v>146</v>
      </c>
      <c r="D60" s="157" t="s">
        <v>102</v>
      </c>
      <c r="E60" s="112">
        <v>1</v>
      </c>
      <c r="F60" s="63"/>
      <c r="G60" s="61"/>
      <c r="H60" s="45">
        <f t="shared" si="0"/>
        <v>0</v>
      </c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10.8" thickBot="1" x14ac:dyDescent="0.25">
      <c r="A61" s="280" t="s">
        <v>243</v>
      </c>
      <c r="B61" s="281"/>
      <c r="C61" s="281"/>
      <c r="D61" s="281"/>
      <c r="E61" s="281"/>
      <c r="F61" s="281"/>
      <c r="G61" s="281"/>
      <c r="H61" s="281"/>
      <c r="I61" s="281"/>
      <c r="J61" s="281"/>
      <c r="K61" s="282"/>
      <c r="L61" s="64">
        <f>SUM(L14:L60)</f>
        <v>0</v>
      </c>
      <c r="M61" s="65">
        <f>SUM(M14:M60)</f>
        <v>0</v>
      </c>
      <c r="N61" s="65">
        <f>SUM(N14:N60)</f>
        <v>0</v>
      </c>
      <c r="O61" s="65">
        <f>SUM(O14:O60)</f>
        <v>0</v>
      </c>
      <c r="P61" s="66">
        <f>SUM(P14:P60)</f>
        <v>0</v>
      </c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" t="s">
        <v>14</v>
      </c>
      <c r="B64" s="17"/>
      <c r="C64" s="279">
        <f>'1a'!C33:H33</f>
        <v>0</v>
      </c>
      <c r="D64" s="279"/>
      <c r="E64" s="279"/>
      <c r="F64" s="279"/>
      <c r="G64" s="279"/>
      <c r="H64" s="279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231" t="s">
        <v>15</v>
      </c>
      <c r="D65" s="231"/>
      <c r="E65" s="231"/>
      <c r="F65" s="231"/>
      <c r="G65" s="231"/>
      <c r="H65" s="231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83" t="str">
        <f>'Kops a'!A35</f>
        <v>Tāme sastādīta</v>
      </c>
      <c r="B67" s="84"/>
      <c r="C67" s="84"/>
      <c r="D67" s="8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" t="s">
        <v>37</v>
      </c>
      <c r="B69" s="17"/>
      <c r="C69" s="279">
        <f>'1a'!C38:H38</f>
        <v>0</v>
      </c>
      <c r="D69" s="279"/>
      <c r="E69" s="279"/>
      <c r="F69" s="279"/>
      <c r="G69" s="279"/>
      <c r="H69" s="279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231" t="s">
        <v>15</v>
      </c>
      <c r="D70" s="231"/>
      <c r="E70" s="231"/>
      <c r="F70" s="231"/>
      <c r="G70" s="231"/>
      <c r="H70" s="231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83" t="s">
        <v>54</v>
      </c>
      <c r="B72" s="84"/>
      <c r="C72" s="88">
        <f>'1a'!C41</f>
        <v>0</v>
      </c>
      <c r="D72" s="4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0:H70"/>
    <mergeCell ref="C4:I4"/>
    <mergeCell ref="F12:K12"/>
    <mergeCell ref="A9:F9"/>
    <mergeCell ref="J9:M9"/>
    <mergeCell ref="D8:L8"/>
    <mergeCell ref="A61:K61"/>
    <mergeCell ref="C64:H64"/>
    <mergeCell ref="C65:H65"/>
    <mergeCell ref="C69:H69"/>
  </mergeCells>
  <conditionalFormatting sqref="A14:B60 I14:J60 D14:G60">
    <cfRule type="cellIs" dxfId="135" priority="22" operator="equal">
      <formula>0</formula>
    </cfRule>
  </conditionalFormatting>
  <conditionalFormatting sqref="N9:O9">
    <cfRule type="cellIs" dxfId="134" priority="21" operator="equal">
      <formula>0</formula>
    </cfRule>
  </conditionalFormatting>
  <conditionalFormatting sqref="A9:F9">
    <cfRule type="containsText" dxfId="133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2" priority="18" operator="equal">
      <formula>0</formula>
    </cfRule>
  </conditionalFormatting>
  <conditionalFormatting sqref="O10">
    <cfRule type="cellIs" dxfId="131" priority="17" operator="equal">
      <formula>"20__. gada __. _________"</formula>
    </cfRule>
  </conditionalFormatting>
  <conditionalFormatting sqref="A61:K61">
    <cfRule type="containsText" dxfId="130" priority="16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H14:H60 K14:P60 L61:P61">
    <cfRule type="cellIs" dxfId="129" priority="11" operator="equal">
      <formula>0</formula>
    </cfRule>
  </conditionalFormatting>
  <conditionalFormatting sqref="C4:I4">
    <cfRule type="cellIs" dxfId="128" priority="10" operator="equal">
      <formula>0</formula>
    </cfRule>
  </conditionalFormatting>
  <conditionalFormatting sqref="C14:C60">
    <cfRule type="cellIs" dxfId="127" priority="9" operator="equal">
      <formula>0</formula>
    </cfRule>
  </conditionalFormatting>
  <conditionalFormatting sqref="D5:L8">
    <cfRule type="cellIs" dxfId="126" priority="8" operator="equal">
      <formula>0</formula>
    </cfRule>
  </conditionalFormatting>
  <conditionalFormatting sqref="P10">
    <cfRule type="cellIs" dxfId="125" priority="7" operator="equal">
      <formula>"20__. gada __. _________"</formula>
    </cfRule>
  </conditionalFormatting>
  <conditionalFormatting sqref="C69:H69">
    <cfRule type="cellIs" dxfId="124" priority="4" operator="equal">
      <formula>0</formula>
    </cfRule>
  </conditionalFormatting>
  <conditionalFormatting sqref="C64:H64">
    <cfRule type="cellIs" dxfId="123" priority="3" operator="equal">
      <formula>0</formula>
    </cfRule>
  </conditionalFormatting>
  <conditionalFormatting sqref="C69:H69 C72 C64:H64">
    <cfRule type="cellIs" dxfId="122" priority="2" operator="equal">
      <formula>0</formula>
    </cfRule>
  </conditionalFormatting>
  <conditionalFormatting sqref="D1">
    <cfRule type="cellIs" dxfId="121" priority="1" operator="equal">
      <formula>0</formula>
    </cfRule>
  </conditionalFormatting>
  <pageMargins left="0.7" right="0.7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pageSetUpPr fitToPage="1"/>
  </sheetPr>
  <dimension ref="A1:P93"/>
  <sheetViews>
    <sheetView workbookViewId="0">
      <selection activeCell="T13" sqref="T13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9" width="6.6640625" style="1" customWidth="1"/>
    <col min="10" max="10" width="4.44140625" style="1" customWidth="1"/>
    <col min="11" max="11" width="4.109375" style="1" customWidth="1"/>
    <col min="12" max="13" width="4.33203125" style="1" customWidth="1"/>
    <col min="14" max="14" width="4.6640625" style="1" customWidth="1"/>
    <col min="15" max="15" width="4.109375" style="1" customWidth="1"/>
    <col min="16" max="16" width="3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v>3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149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148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P81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/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3.2" x14ac:dyDescent="0.2">
      <c r="A14" s="96"/>
      <c r="B14" s="163"/>
      <c r="C14" s="164" t="s">
        <v>150</v>
      </c>
      <c r="D14" s="165"/>
      <c r="E14" s="166"/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52.8" x14ac:dyDescent="0.2">
      <c r="A15" s="90">
        <v>1</v>
      </c>
      <c r="B15" s="167" t="s">
        <v>122</v>
      </c>
      <c r="C15" s="95" t="s">
        <v>151</v>
      </c>
      <c r="D15" s="168" t="s">
        <v>78</v>
      </c>
      <c r="E15" s="94">
        <v>1</v>
      </c>
      <c r="F15" s="63"/>
      <c r="G15" s="61"/>
      <c r="H15" s="45">
        <f t="shared" ref="H15:H78" si="0">ROUND(F15*G15,2)</f>
        <v>0</v>
      </c>
      <c r="I15" s="61"/>
      <c r="J15" s="61"/>
      <c r="K15" s="46">
        <f t="shared" ref="K15:K78" si="1">SUM(H15:J15)</f>
        <v>0</v>
      </c>
      <c r="L15" s="47">
        <f t="shared" ref="L15:L78" si="2">ROUND(E15*F15,2)</f>
        <v>0</v>
      </c>
      <c r="M15" s="45">
        <f t="shared" ref="M15:M78" si="3">ROUND(H15*E15,2)</f>
        <v>0</v>
      </c>
      <c r="N15" s="45">
        <f t="shared" ref="N15:N78" si="4">ROUND(I15*E15,2)</f>
        <v>0</v>
      </c>
      <c r="O15" s="45">
        <f t="shared" ref="O15:O78" si="5">ROUND(J15*E15,2)</f>
        <v>0</v>
      </c>
      <c r="P15" s="46">
        <f t="shared" ref="P15:P78" si="6">SUM(M15:O15)</f>
        <v>0</v>
      </c>
    </row>
    <row r="16" spans="1:16" ht="13.2" x14ac:dyDescent="0.2">
      <c r="A16" s="96">
        <v>2</v>
      </c>
      <c r="B16" s="167" t="s">
        <v>122</v>
      </c>
      <c r="C16" s="98" t="s">
        <v>152</v>
      </c>
      <c r="D16" s="169" t="s">
        <v>63</v>
      </c>
      <c r="E16" s="102">
        <f>1.2*8+1.7*2+1.5*45+1.15*76+1.2*5+6.4*10+6.5*2+5*3+4*2.5+24*1.75+20*1.75+44*1.5+16*2.95</f>
        <v>466.09999999999997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6.4" x14ac:dyDescent="0.2">
      <c r="A17" s="108">
        <f>A16+1</f>
        <v>3</v>
      </c>
      <c r="B17" s="170" t="s">
        <v>61</v>
      </c>
      <c r="C17" s="171" t="s">
        <v>153</v>
      </c>
      <c r="D17" s="91" t="s">
        <v>66</v>
      </c>
      <c r="E17" s="106">
        <v>1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3.2" x14ac:dyDescent="0.2">
      <c r="A18" s="172"/>
      <c r="B18" s="170" t="s">
        <v>154</v>
      </c>
      <c r="C18" s="173" t="s">
        <v>155</v>
      </c>
      <c r="D18" s="174" t="s">
        <v>92</v>
      </c>
      <c r="E18" s="175">
        <f>2*18.055*65.5+2*18.055*13.95</f>
        <v>2868.9395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3.2" x14ac:dyDescent="0.2">
      <c r="A19" s="108"/>
      <c r="B19" s="170" t="s">
        <v>156</v>
      </c>
      <c r="C19" s="171" t="s">
        <v>157</v>
      </c>
      <c r="D19" s="91" t="s">
        <v>92</v>
      </c>
      <c r="E19" s="106">
        <f>E18*1.15</f>
        <v>3299.2804249999995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3.2" x14ac:dyDescent="0.2">
      <c r="A20" s="90">
        <v>4</v>
      </c>
      <c r="B20" s="167" t="s">
        <v>122</v>
      </c>
      <c r="C20" s="95" t="s">
        <v>158</v>
      </c>
      <c r="D20" s="168" t="s">
        <v>92</v>
      </c>
      <c r="E20" s="94">
        <v>225.4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5.6" x14ac:dyDescent="0.2">
      <c r="A21" s="91">
        <v>5</v>
      </c>
      <c r="B21" s="176" t="s">
        <v>83</v>
      </c>
      <c r="C21" s="98" t="s">
        <v>159</v>
      </c>
      <c r="D21" s="169" t="s">
        <v>160</v>
      </c>
      <c r="E21" s="177">
        <v>225.4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3.2" x14ac:dyDescent="0.25">
      <c r="A22" s="91">
        <v>6</v>
      </c>
      <c r="B22" s="170" t="s">
        <v>83</v>
      </c>
      <c r="C22" s="178" t="s">
        <v>118</v>
      </c>
      <c r="D22" s="179" t="s">
        <v>92</v>
      </c>
      <c r="E22" s="180">
        <v>22.4</v>
      </c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13.2" x14ac:dyDescent="0.25">
      <c r="A23" s="91"/>
      <c r="B23" s="170"/>
      <c r="C23" s="181" t="s">
        <v>161</v>
      </c>
      <c r="D23" s="179" t="s">
        <v>92</v>
      </c>
      <c r="E23" s="180">
        <f>SUM(E22)*1.1</f>
        <v>24.64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3.2" x14ac:dyDescent="0.25">
      <c r="A24" s="91"/>
      <c r="B24" s="170"/>
      <c r="C24" s="181" t="s">
        <v>162</v>
      </c>
      <c r="D24" s="179" t="s">
        <v>105</v>
      </c>
      <c r="E24" s="182">
        <f>SUM(E22)*12</f>
        <v>268.79999999999995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26.4" x14ac:dyDescent="0.2">
      <c r="A25" s="91"/>
      <c r="B25" s="167" t="s">
        <v>122</v>
      </c>
      <c r="C25" s="95" t="s">
        <v>163</v>
      </c>
      <c r="D25" s="168" t="s">
        <v>63</v>
      </c>
      <c r="E25" s="183">
        <v>980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3.2" x14ac:dyDescent="0.25">
      <c r="A26" s="91"/>
      <c r="B26" s="170" t="s">
        <v>83</v>
      </c>
      <c r="C26" s="178" t="s">
        <v>164</v>
      </c>
      <c r="D26" s="179" t="s">
        <v>63</v>
      </c>
      <c r="E26" s="180">
        <v>980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3.2" x14ac:dyDescent="0.25">
      <c r="A27" s="91"/>
      <c r="B27" s="170"/>
      <c r="C27" s="181" t="s">
        <v>165</v>
      </c>
      <c r="D27" s="179" t="s">
        <v>87</v>
      </c>
      <c r="E27" s="180">
        <v>15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3.2" x14ac:dyDescent="0.25">
      <c r="A28" s="91"/>
      <c r="B28" s="170"/>
      <c r="C28" s="181" t="s">
        <v>166</v>
      </c>
      <c r="D28" s="179" t="s">
        <v>105</v>
      </c>
      <c r="E28" s="182">
        <v>420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5.6" x14ac:dyDescent="0.2">
      <c r="A29" s="184">
        <v>7</v>
      </c>
      <c r="B29" s="170" t="s">
        <v>83</v>
      </c>
      <c r="C29" s="95" t="s">
        <v>167</v>
      </c>
      <c r="D29" s="168" t="s">
        <v>160</v>
      </c>
      <c r="E29" s="185">
        <v>2251</v>
      </c>
      <c r="F29" s="63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26.4" x14ac:dyDescent="0.2">
      <c r="A30" s="184"/>
      <c r="B30" s="170"/>
      <c r="C30" s="107" t="s">
        <v>168</v>
      </c>
      <c r="D30" s="168" t="s">
        <v>87</v>
      </c>
      <c r="E30" s="186">
        <f>E29*0.2</f>
        <v>450.20000000000005</v>
      </c>
      <c r="F30" s="63"/>
      <c r="G30" s="61"/>
      <c r="H30" s="45">
        <f t="shared" si="0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15.6" x14ac:dyDescent="0.2">
      <c r="A31" s="184">
        <v>9</v>
      </c>
      <c r="B31" s="170" t="s">
        <v>113</v>
      </c>
      <c r="C31" s="95" t="s">
        <v>169</v>
      </c>
      <c r="D31" s="168" t="s">
        <v>160</v>
      </c>
      <c r="E31" s="189">
        <f>E29</f>
        <v>2251</v>
      </c>
      <c r="F31" s="63"/>
      <c r="G31" s="61"/>
      <c r="H31" s="45">
        <f t="shared" si="0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26.4" x14ac:dyDescent="0.2">
      <c r="A32" s="168"/>
      <c r="B32" s="170"/>
      <c r="C32" s="187" t="s">
        <v>170</v>
      </c>
      <c r="D32" s="168" t="s">
        <v>160</v>
      </c>
      <c r="E32" s="185">
        <f>E31*1.05</f>
        <v>2363.5500000000002</v>
      </c>
      <c r="F32" s="63"/>
      <c r="G32" s="61"/>
      <c r="H32" s="45">
        <f t="shared" si="0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13.2" x14ac:dyDescent="0.2">
      <c r="A33" s="168"/>
      <c r="B33" s="170"/>
      <c r="C33" s="107" t="s">
        <v>171</v>
      </c>
      <c r="D33" s="168" t="s">
        <v>87</v>
      </c>
      <c r="E33" s="186">
        <f>E31*6</f>
        <v>13506</v>
      </c>
      <c r="F33" s="63"/>
      <c r="G33" s="61"/>
      <c r="H33" s="45">
        <f t="shared" si="0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13.2" x14ac:dyDescent="0.2">
      <c r="A34" s="168"/>
      <c r="B34" s="170"/>
      <c r="C34" s="95" t="s">
        <v>172</v>
      </c>
      <c r="D34" s="168" t="s">
        <v>173</v>
      </c>
      <c r="E34" s="186">
        <f>E31*5</f>
        <v>11255</v>
      </c>
      <c r="F34" s="63"/>
      <c r="G34" s="61"/>
      <c r="H34" s="45">
        <f t="shared" si="0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13.2" x14ac:dyDescent="0.2">
      <c r="A35" s="168"/>
      <c r="B35" s="170"/>
      <c r="C35" s="95" t="s">
        <v>174</v>
      </c>
      <c r="D35" s="168" t="s">
        <v>63</v>
      </c>
      <c r="E35" s="185">
        <v>150</v>
      </c>
      <c r="F35" s="63"/>
      <c r="G35" s="61"/>
      <c r="H35" s="45">
        <f t="shared" si="0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13.2" x14ac:dyDescent="0.2">
      <c r="A36" s="168"/>
      <c r="B36" s="170"/>
      <c r="C36" s="95" t="s">
        <v>175</v>
      </c>
      <c r="D36" s="168" t="s">
        <v>63</v>
      </c>
      <c r="E36" s="185">
        <v>170</v>
      </c>
      <c r="F36" s="63"/>
      <c r="G36" s="61"/>
      <c r="H36" s="45">
        <f t="shared" si="0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15.6" x14ac:dyDescent="0.2">
      <c r="A37" s="184">
        <v>10</v>
      </c>
      <c r="B37" s="170" t="s">
        <v>83</v>
      </c>
      <c r="C37" s="95" t="s">
        <v>176</v>
      </c>
      <c r="D37" s="168" t="s">
        <v>160</v>
      </c>
      <c r="E37" s="185">
        <f>E29</f>
        <v>2251</v>
      </c>
      <c r="F37" s="63"/>
      <c r="G37" s="61"/>
      <c r="H37" s="45">
        <f t="shared" si="0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15.6" x14ac:dyDescent="0.2">
      <c r="A38" s="168"/>
      <c r="B38" s="170"/>
      <c r="C38" s="107" t="s">
        <v>177</v>
      </c>
      <c r="D38" s="168" t="s">
        <v>160</v>
      </c>
      <c r="E38" s="185">
        <f>E37*1.15</f>
        <v>2588.6499999999996</v>
      </c>
      <c r="F38" s="63"/>
      <c r="G38" s="61"/>
      <c r="H38" s="45">
        <f t="shared" si="0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13.2" x14ac:dyDescent="0.2">
      <c r="A39" s="168"/>
      <c r="B39" s="170"/>
      <c r="C39" s="107" t="s">
        <v>171</v>
      </c>
      <c r="D39" s="168" t="s">
        <v>87</v>
      </c>
      <c r="E39" s="186">
        <f>E37*6</f>
        <v>13506</v>
      </c>
      <c r="F39" s="63"/>
      <c r="G39" s="61"/>
      <c r="H39" s="45">
        <f t="shared" si="0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13.2" x14ac:dyDescent="0.2">
      <c r="A40" s="168"/>
      <c r="B40" s="170"/>
      <c r="C40" s="95" t="s">
        <v>178</v>
      </c>
      <c r="D40" s="168" t="s">
        <v>63</v>
      </c>
      <c r="E40" s="186">
        <f>8*16.8+14.65*14</f>
        <v>339.5</v>
      </c>
      <c r="F40" s="63"/>
      <c r="G40" s="61"/>
      <c r="H40" s="45">
        <f t="shared" si="0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15.6" x14ac:dyDescent="0.2">
      <c r="A41" s="184">
        <v>11</v>
      </c>
      <c r="B41" s="170" t="s">
        <v>83</v>
      </c>
      <c r="C41" s="95" t="s">
        <v>179</v>
      </c>
      <c r="D41" s="168" t="s">
        <v>160</v>
      </c>
      <c r="E41" s="185">
        <f>E37</f>
        <v>2251</v>
      </c>
      <c r="F41" s="63"/>
      <c r="G41" s="61"/>
      <c r="H41" s="45">
        <f t="shared" si="0"/>
        <v>0</v>
      </c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13.2" x14ac:dyDescent="0.2">
      <c r="A42" s="168"/>
      <c r="B42" s="170"/>
      <c r="C42" s="107" t="s">
        <v>180</v>
      </c>
      <c r="D42" s="168" t="s">
        <v>87</v>
      </c>
      <c r="E42" s="186">
        <v>362</v>
      </c>
      <c r="F42" s="63"/>
      <c r="G42" s="61"/>
      <c r="H42" s="45">
        <f t="shared" si="0"/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13.2" x14ac:dyDescent="0.2">
      <c r="A43" s="168"/>
      <c r="B43" s="170"/>
      <c r="C43" s="107" t="s">
        <v>181</v>
      </c>
      <c r="D43" s="168" t="s">
        <v>87</v>
      </c>
      <c r="E43" s="186">
        <f>E41*1.8*2.5</f>
        <v>10129.5</v>
      </c>
      <c r="F43" s="63"/>
      <c r="G43" s="61"/>
      <c r="H43" s="45">
        <f t="shared" si="0"/>
        <v>0</v>
      </c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26.4" x14ac:dyDescent="0.2">
      <c r="A44" s="168">
        <v>12</v>
      </c>
      <c r="B44" s="170" t="s">
        <v>83</v>
      </c>
      <c r="C44" s="95" t="s">
        <v>182</v>
      </c>
      <c r="D44" s="168" t="s">
        <v>160</v>
      </c>
      <c r="E44" s="185">
        <f>SUM(E41)</f>
        <v>2251</v>
      </c>
      <c r="F44" s="63"/>
      <c r="G44" s="61"/>
      <c r="H44" s="45">
        <f t="shared" si="0"/>
        <v>0</v>
      </c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13.2" x14ac:dyDescent="0.2">
      <c r="A45" s="168"/>
      <c r="B45" s="170"/>
      <c r="C45" s="107" t="s">
        <v>86</v>
      </c>
      <c r="D45" s="168" t="s">
        <v>87</v>
      </c>
      <c r="E45" s="186">
        <f>E44*0.18</f>
        <v>405.18</v>
      </c>
      <c r="F45" s="63"/>
      <c r="G45" s="61"/>
      <c r="H45" s="45">
        <f t="shared" si="0"/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ht="13.2" x14ac:dyDescent="0.2">
      <c r="A46" s="168"/>
      <c r="B46" s="170"/>
      <c r="C46" s="107" t="s">
        <v>183</v>
      </c>
      <c r="D46" s="168" t="s">
        <v>87</v>
      </c>
      <c r="E46" s="186">
        <f>E44*0.3</f>
        <v>675.3</v>
      </c>
      <c r="F46" s="63"/>
      <c r="G46" s="61"/>
      <c r="H46" s="45">
        <f t="shared" si="0"/>
        <v>0</v>
      </c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ht="39.6" x14ac:dyDescent="0.2">
      <c r="A47" s="168">
        <f>A44+1</f>
        <v>13</v>
      </c>
      <c r="B47" s="170" t="s">
        <v>83</v>
      </c>
      <c r="C47" s="171" t="s">
        <v>184</v>
      </c>
      <c r="D47" s="168" t="s">
        <v>160</v>
      </c>
      <c r="E47" s="185">
        <v>159.6</v>
      </c>
      <c r="F47" s="63"/>
      <c r="G47" s="61"/>
      <c r="H47" s="45">
        <f t="shared" si="0"/>
        <v>0</v>
      </c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26.4" x14ac:dyDescent="0.2">
      <c r="A48" s="91"/>
      <c r="B48" s="167"/>
      <c r="C48" s="188" t="s">
        <v>185</v>
      </c>
      <c r="D48" s="91" t="s">
        <v>186</v>
      </c>
      <c r="E48" s="185">
        <f>E47*1.05</f>
        <v>167.58</v>
      </c>
      <c r="F48" s="63"/>
      <c r="G48" s="61"/>
      <c r="H48" s="45">
        <f t="shared" si="0"/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13.2" x14ac:dyDescent="0.2">
      <c r="A49" s="91"/>
      <c r="B49" s="167"/>
      <c r="C49" s="107" t="s">
        <v>171</v>
      </c>
      <c r="D49" s="91" t="s">
        <v>87</v>
      </c>
      <c r="E49" s="186">
        <f>E47*6</f>
        <v>957.59999999999991</v>
      </c>
      <c r="F49" s="63"/>
      <c r="G49" s="61"/>
      <c r="H49" s="45">
        <f t="shared" si="0"/>
        <v>0</v>
      </c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13.2" x14ac:dyDescent="0.2">
      <c r="A50" s="91"/>
      <c r="B50" s="167"/>
      <c r="C50" s="95" t="s">
        <v>187</v>
      </c>
      <c r="D50" s="91" t="s">
        <v>173</v>
      </c>
      <c r="E50" s="186">
        <f>E47*5</f>
        <v>798</v>
      </c>
      <c r="F50" s="63"/>
      <c r="G50" s="61"/>
      <c r="H50" s="45">
        <f t="shared" si="0"/>
        <v>0</v>
      </c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26.4" x14ac:dyDescent="0.2">
      <c r="A51" s="168">
        <f>A47+1</f>
        <v>14</v>
      </c>
      <c r="B51" s="170" t="s">
        <v>83</v>
      </c>
      <c r="C51" s="95" t="s">
        <v>188</v>
      </c>
      <c r="D51" s="168" t="s">
        <v>160</v>
      </c>
      <c r="E51" s="185">
        <f>E47</f>
        <v>159.6</v>
      </c>
      <c r="F51" s="63"/>
      <c r="G51" s="61"/>
      <c r="H51" s="45">
        <f t="shared" si="0"/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15.6" x14ac:dyDescent="0.2">
      <c r="A52" s="168"/>
      <c r="B52" s="170"/>
      <c r="C52" s="107" t="s">
        <v>177</v>
      </c>
      <c r="D52" s="168" t="s">
        <v>160</v>
      </c>
      <c r="E52" s="185">
        <f>E51*1.03</f>
        <v>164.38800000000001</v>
      </c>
      <c r="F52" s="63"/>
      <c r="G52" s="61"/>
      <c r="H52" s="45">
        <f t="shared" si="0"/>
        <v>0</v>
      </c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13.2" x14ac:dyDescent="0.2">
      <c r="A53" s="168"/>
      <c r="B53" s="170"/>
      <c r="C53" s="107" t="s">
        <v>171</v>
      </c>
      <c r="D53" s="168" t="s">
        <v>87</v>
      </c>
      <c r="E53" s="185">
        <f>E51*6</f>
        <v>957.59999999999991</v>
      </c>
      <c r="F53" s="63"/>
      <c r="G53" s="61"/>
      <c r="H53" s="45">
        <f t="shared" si="0"/>
        <v>0</v>
      </c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ht="13.2" x14ac:dyDescent="0.2">
      <c r="A54" s="168"/>
      <c r="B54" s="170"/>
      <c r="C54" s="95" t="s">
        <v>178</v>
      </c>
      <c r="D54" s="168" t="s">
        <v>63</v>
      </c>
      <c r="E54" s="185">
        <v>1150</v>
      </c>
      <c r="F54" s="63"/>
      <c r="G54" s="61"/>
      <c r="H54" s="45">
        <f t="shared" si="0"/>
        <v>0</v>
      </c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15.6" x14ac:dyDescent="0.2">
      <c r="A55" s="184">
        <f>A51+1</f>
        <v>15</v>
      </c>
      <c r="B55" s="170" t="s">
        <v>83</v>
      </c>
      <c r="C55" s="95" t="s">
        <v>189</v>
      </c>
      <c r="D55" s="168" t="s">
        <v>160</v>
      </c>
      <c r="E55" s="185">
        <f>SUM(E47)</f>
        <v>159.6</v>
      </c>
      <c r="F55" s="63"/>
      <c r="G55" s="61"/>
      <c r="H55" s="45">
        <f t="shared" si="0"/>
        <v>0</v>
      </c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13.2" x14ac:dyDescent="0.2">
      <c r="A56" s="168"/>
      <c r="B56" s="170"/>
      <c r="C56" s="107" t="s">
        <v>180</v>
      </c>
      <c r="D56" s="168" t="s">
        <v>87</v>
      </c>
      <c r="E56" s="186">
        <f>E55*0.18</f>
        <v>28.727999999999998</v>
      </c>
      <c r="F56" s="63"/>
      <c r="G56" s="61"/>
      <c r="H56" s="45">
        <f t="shared" si="0"/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13.2" x14ac:dyDescent="0.2">
      <c r="A57" s="168"/>
      <c r="B57" s="170"/>
      <c r="C57" s="107" t="s">
        <v>181</v>
      </c>
      <c r="D57" s="168" t="s">
        <v>87</v>
      </c>
      <c r="E57" s="186">
        <f>E55*1.8*2.5</f>
        <v>718.19999999999993</v>
      </c>
      <c r="F57" s="63"/>
      <c r="G57" s="61"/>
      <c r="H57" s="45">
        <f t="shared" si="0"/>
        <v>0</v>
      </c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26.4" x14ac:dyDescent="0.2">
      <c r="A58" s="168">
        <f>A55+1</f>
        <v>16</v>
      </c>
      <c r="B58" s="170" t="s">
        <v>83</v>
      </c>
      <c r="C58" s="95" t="s">
        <v>190</v>
      </c>
      <c r="D58" s="168" t="s">
        <v>160</v>
      </c>
      <c r="E58" s="185">
        <f>E55</f>
        <v>159.6</v>
      </c>
      <c r="F58" s="63"/>
      <c r="G58" s="61"/>
      <c r="H58" s="45">
        <f t="shared" si="0"/>
        <v>0</v>
      </c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13.2" x14ac:dyDescent="0.2">
      <c r="A59" s="168"/>
      <c r="B59" s="170"/>
      <c r="C59" s="107" t="s">
        <v>86</v>
      </c>
      <c r="D59" s="168" t="s">
        <v>87</v>
      </c>
      <c r="E59" s="186">
        <f>E58*0.18</f>
        <v>28.727999999999998</v>
      </c>
      <c r="F59" s="63"/>
      <c r="G59" s="61"/>
      <c r="H59" s="45">
        <f t="shared" si="0"/>
        <v>0</v>
      </c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13.2" x14ac:dyDescent="0.2">
      <c r="A60" s="168"/>
      <c r="B60" s="170"/>
      <c r="C60" s="107" t="s">
        <v>183</v>
      </c>
      <c r="D60" s="168" t="s">
        <v>87</v>
      </c>
      <c r="E60" s="186">
        <f>E58*0.3</f>
        <v>47.879999999999995</v>
      </c>
      <c r="F60" s="63"/>
      <c r="G60" s="61"/>
      <c r="H60" s="45">
        <f t="shared" si="0"/>
        <v>0</v>
      </c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15.6" x14ac:dyDescent="0.2">
      <c r="A61" s="168">
        <v>17</v>
      </c>
      <c r="B61" s="170" t="s">
        <v>113</v>
      </c>
      <c r="C61" s="95" t="s">
        <v>191</v>
      </c>
      <c r="D61" s="168" t="s">
        <v>160</v>
      </c>
      <c r="E61" s="185">
        <v>148.4</v>
      </c>
      <c r="F61" s="63"/>
      <c r="G61" s="61"/>
      <c r="H61" s="45">
        <f t="shared" si="0"/>
        <v>0</v>
      </c>
      <c r="I61" s="61"/>
      <c r="J61" s="61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ht="26.4" x14ac:dyDescent="0.2">
      <c r="A62" s="168"/>
      <c r="B62" s="170"/>
      <c r="C62" s="187" t="s">
        <v>170</v>
      </c>
      <c r="D62" s="168" t="s">
        <v>160</v>
      </c>
      <c r="E62" s="185">
        <f>E61*1.05</f>
        <v>155.82000000000002</v>
      </c>
      <c r="F62" s="63"/>
      <c r="G62" s="61"/>
      <c r="H62" s="45">
        <f t="shared" si="0"/>
        <v>0</v>
      </c>
      <c r="I62" s="61"/>
      <c r="J62" s="61"/>
      <c r="K62" s="46">
        <f t="shared" si="1"/>
        <v>0</v>
      </c>
      <c r="L62" s="47">
        <f t="shared" si="2"/>
        <v>0</v>
      </c>
      <c r="M62" s="45">
        <f t="shared" si="3"/>
        <v>0</v>
      </c>
      <c r="N62" s="45">
        <f t="shared" si="4"/>
        <v>0</v>
      </c>
      <c r="O62" s="45">
        <f t="shared" si="5"/>
        <v>0</v>
      </c>
      <c r="P62" s="46">
        <f t="shared" si="6"/>
        <v>0</v>
      </c>
    </row>
    <row r="63" spans="1:16" ht="13.2" x14ac:dyDescent="0.2">
      <c r="A63" s="168"/>
      <c r="B63" s="170"/>
      <c r="C63" s="107" t="s">
        <v>171</v>
      </c>
      <c r="D63" s="168" t="s">
        <v>87</v>
      </c>
      <c r="E63" s="186">
        <f>E61*6</f>
        <v>890.40000000000009</v>
      </c>
      <c r="F63" s="63"/>
      <c r="G63" s="61"/>
      <c r="H63" s="45">
        <f t="shared" si="0"/>
        <v>0</v>
      </c>
      <c r="I63" s="61"/>
      <c r="J63" s="61"/>
      <c r="K63" s="46">
        <f t="shared" si="1"/>
        <v>0</v>
      </c>
      <c r="L63" s="47">
        <f t="shared" si="2"/>
        <v>0</v>
      </c>
      <c r="M63" s="45">
        <f t="shared" si="3"/>
        <v>0</v>
      </c>
      <c r="N63" s="45">
        <f t="shared" si="4"/>
        <v>0</v>
      </c>
      <c r="O63" s="45">
        <f t="shared" si="5"/>
        <v>0</v>
      </c>
      <c r="P63" s="46">
        <f t="shared" si="6"/>
        <v>0</v>
      </c>
    </row>
    <row r="64" spans="1:16" ht="13.2" x14ac:dyDescent="0.2">
      <c r="A64" s="168"/>
      <c r="B64" s="170"/>
      <c r="C64" s="95" t="s">
        <v>172</v>
      </c>
      <c r="D64" s="168" t="s">
        <v>173</v>
      </c>
      <c r="E64" s="186">
        <f>E61*5</f>
        <v>742</v>
      </c>
      <c r="F64" s="63"/>
      <c r="G64" s="61"/>
      <c r="H64" s="45">
        <f t="shared" si="0"/>
        <v>0</v>
      </c>
      <c r="I64" s="61"/>
      <c r="J64" s="61"/>
      <c r="K64" s="46">
        <f t="shared" si="1"/>
        <v>0</v>
      </c>
      <c r="L64" s="47">
        <f t="shared" si="2"/>
        <v>0</v>
      </c>
      <c r="M64" s="45">
        <f t="shared" si="3"/>
        <v>0</v>
      </c>
      <c r="N64" s="45">
        <f t="shared" si="4"/>
        <v>0</v>
      </c>
      <c r="O64" s="45">
        <f t="shared" si="5"/>
        <v>0</v>
      </c>
      <c r="P64" s="46">
        <f t="shared" si="6"/>
        <v>0</v>
      </c>
    </row>
    <row r="65" spans="1:16" ht="15.6" x14ac:dyDescent="0.2">
      <c r="A65" s="168">
        <v>18</v>
      </c>
      <c r="B65" s="170" t="s">
        <v>83</v>
      </c>
      <c r="C65" s="95" t="s">
        <v>192</v>
      </c>
      <c r="D65" s="168" t="s">
        <v>160</v>
      </c>
      <c r="E65" s="106">
        <f>E61</f>
        <v>148.4</v>
      </c>
      <c r="F65" s="63"/>
      <c r="G65" s="61"/>
      <c r="H65" s="45">
        <f t="shared" si="0"/>
        <v>0</v>
      </c>
      <c r="I65" s="61"/>
      <c r="J65" s="61"/>
      <c r="K65" s="46">
        <f t="shared" si="1"/>
        <v>0</v>
      </c>
      <c r="L65" s="47">
        <f t="shared" si="2"/>
        <v>0</v>
      </c>
      <c r="M65" s="45">
        <f t="shared" si="3"/>
        <v>0</v>
      </c>
      <c r="N65" s="45">
        <f t="shared" si="4"/>
        <v>0</v>
      </c>
      <c r="O65" s="45">
        <f t="shared" si="5"/>
        <v>0</v>
      </c>
      <c r="P65" s="46">
        <f t="shared" si="6"/>
        <v>0</v>
      </c>
    </row>
    <row r="66" spans="1:16" ht="15.6" x14ac:dyDescent="0.2">
      <c r="A66" s="168"/>
      <c r="B66" s="170"/>
      <c r="C66" s="107" t="s">
        <v>177</v>
      </c>
      <c r="D66" s="168" t="s">
        <v>160</v>
      </c>
      <c r="E66" s="106">
        <f>E65*1.03</f>
        <v>152.852</v>
      </c>
      <c r="F66" s="63"/>
      <c r="G66" s="61"/>
      <c r="H66" s="45">
        <f t="shared" si="0"/>
        <v>0</v>
      </c>
      <c r="I66" s="61"/>
      <c r="J66" s="61"/>
      <c r="K66" s="46">
        <f t="shared" si="1"/>
        <v>0</v>
      </c>
      <c r="L66" s="47">
        <f t="shared" si="2"/>
        <v>0</v>
      </c>
      <c r="M66" s="45">
        <f t="shared" si="3"/>
        <v>0</v>
      </c>
      <c r="N66" s="45">
        <f t="shared" si="4"/>
        <v>0</v>
      </c>
      <c r="O66" s="45">
        <f t="shared" si="5"/>
        <v>0</v>
      </c>
      <c r="P66" s="46">
        <f t="shared" si="6"/>
        <v>0</v>
      </c>
    </row>
    <row r="67" spans="1:16" ht="13.2" x14ac:dyDescent="0.2">
      <c r="A67" s="168"/>
      <c r="B67" s="170"/>
      <c r="C67" s="107" t="s">
        <v>171</v>
      </c>
      <c r="D67" s="168" t="s">
        <v>87</v>
      </c>
      <c r="E67" s="106">
        <f>E65*6</f>
        <v>890.40000000000009</v>
      </c>
      <c r="F67" s="63"/>
      <c r="G67" s="61"/>
      <c r="H67" s="45">
        <f t="shared" si="0"/>
        <v>0</v>
      </c>
      <c r="I67" s="61"/>
      <c r="J67" s="61"/>
      <c r="K67" s="46">
        <f t="shared" si="1"/>
        <v>0</v>
      </c>
      <c r="L67" s="47">
        <f t="shared" si="2"/>
        <v>0</v>
      </c>
      <c r="M67" s="45">
        <f t="shared" si="3"/>
        <v>0</v>
      </c>
      <c r="N67" s="45">
        <f t="shared" si="4"/>
        <v>0</v>
      </c>
      <c r="O67" s="45">
        <f t="shared" si="5"/>
        <v>0</v>
      </c>
      <c r="P67" s="46">
        <f t="shared" si="6"/>
        <v>0</v>
      </c>
    </row>
    <row r="68" spans="1:16" ht="15.6" x14ac:dyDescent="0.2">
      <c r="A68" s="168">
        <v>19</v>
      </c>
      <c r="B68" s="170" t="s">
        <v>83</v>
      </c>
      <c r="C68" s="95" t="s">
        <v>193</v>
      </c>
      <c r="D68" s="168" t="s">
        <v>160</v>
      </c>
      <c r="E68" s="106">
        <f>SUM(E61)</f>
        <v>148.4</v>
      </c>
      <c r="F68" s="63"/>
      <c r="G68" s="61"/>
      <c r="H68" s="45">
        <f t="shared" si="0"/>
        <v>0</v>
      </c>
      <c r="I68" s="61"/>
      <c r="J68" s="61"/>
      <c r="K68" s="46">
        <f t="shared" si="1"/>
        <v>0</v>
      </c>
      <c r="L68" s="47">
        <f t="shared" si="2"/>
        <v>0</v>
      </c>
      <c r="M68" s="45">
        <f t="shared" si="3"/>
        <v>0</v>
      </c>
      <c r="N68" s="45">
        <f t="shared" si="4"/>
        <v>0</v>
      </c>
      <c r="O68" s="45">
        <f t="shared" si="5"/>
        <v>0</v>
      </c>
      <c r="P68" s="46">
        <f t="shared" si="6"/>
        <v>0</v>
      </c>
    </row>
    <row r="69" spans="1:16" ht="13.2" x14ac:dyDescent="0.2">
      <c r="A69" s="168"/>
      <c r="B69" s="170"/>
      <c r="C69" s="107" t="s">
        <v>180</v>
      </c>
      <c r="D69" s="168" t="s">
        <v>87</v>
      </c>
      <c r="E69" s="108">
        <f>E68*0.18</f>
        <v>26.712</v>
      </c>
      <c r="F69" s="63"/>
      <c r="G69" s="61"/>
      <c r="H69" s="45">
        <f t="shared" si="0"/>
        <v>0</v>
      </c>
      <c r="I69" s="61"/>
      <c r="J69" s="61"/>
      <c r="K69" s="46">
        <f t="shared" si="1"/>
        <v>0</v>
      </c>
      <c r="L69" s="47">
        <f t="shared" si="2"/>
        <v>0</v>
      </c>
      <c r="M69" s="45">
        <f t="shared" si="3"/>
        <v>0</v>
      </c>
      <c r="N69" s="45">
        <f t="shared" si="4"/>
        <v>0</v>
      </c>
      <c r="O69" s="45">
        <f t="shared" si="5"/>
        <v>0</v>
      </c>
      <c r="P69" s="46">
        <f t="shared" si="6"/>
        <v>0</v>
      </c>
    </row>
    <row r="70" spans="1:16" ht="13.2" x14ac:dyDescent="0.2">
      <c r="A70" s="168"/>
      <c r="B70" s="170"/>
      <c r="C70" s="107" t="s">
        <v>181</v>
      </c>
      <c r="D70" s="168" t="s">
        <v>87</v>
      </c>
      <c r="E70" s="108">
        <f>E68*1.8*2.5</f>
        <v>667.8</v>
      </c>
      <c r="F70" s="63"/>
      <c r="G70" s="61"/>
      <c r="H70" s="45">
        <f t="shared" si="0"/>
        <v>0</v>
      </c>
      <c r="I70" s="61"/>
      <c r="J70" s="61"/>
      <c r="K70" s="46">
        <f t="shared" si="1"/>
        <v>0</v>
      </c>
      <c r="L70" s="47">
        <f t="shared" si="2"/>
        <v>0</v>
      </c>
      <c r="M70" s="45">
        <f t="shared" si="3"/>
        <v>0</v>
      </c>
      <c r="N70" s="45">
        <f t="shared" si="4"/>
        <v>0</v>
      </c>
      <c r="O70" s="45">
        <f t="shared" si="5"/>
        <v>0</v>
      </c>
      <c r="P70" s="46">
        <f t="shared" si="6"/>
        <v>0</v>
      </c>
    </row>
    <row r="71" spans="1:16" ht="26.4" x14ac:dyDescent="0.2">
      <c r="A71" s="168">
        <v>20</v>
      </c>
      <c r="B71" s="170" t="s">
        <v>83</v>
      </c>
      <c r="C71" s="95" t="s">
        <v>194</v>
      </c>
      <c r="D71" s="168" t="s">
        <v>160</v>
      </c>
      <c r="E71" s="106">
        <f>E68</f>
        <v>148.4</v>
      </c>
      <c r="F71" s="63"/>
      <c r="G71" s="61"/>
      <c r="H71" s="45">
        <f t="shared" si="0"/>
        <v>0</v>
      </c>
      <c r="I71" s="61"/>
      <c r="J71" s="61"/>
      <c r="K71" s="46">
        <f t="shared" si="1"/>
        <v>0</v>
      </c>
      <c r="L71" s="47">
        <f t="shared" si="2"/>
        <v>0</v>
      </c>
      <c r="M71" s="45">
        <f t="shared" si="3"/>
        <v>0</v>
      </c>
      <c r="N71" s="45">
        <f t="shared" si="4"/>
        <v>0</v>
      </c>
      <c r="O71" s="45">
        <f t="shared" si="5"/>
        <v>0</v>
      </c>
      <c r="P71" s="46">
        <f t="shared" si="6"/>
        <v>0</v>
      </c>
    </row>
    <row r="72" spans="1:16" ht="13.2" x14ac:dyDescent="0.2">
      <c r="A72" s="168"/>
      <c r="B72" s="170"/>
      <c r="C72" s="107" t="s">
        <v>86</v>
      </c>
      <c r="D72" s="168" t="s">
        <v>87</v>
      </c>
      <c r="E72" s="108">
        <f>E71*0.18</f>
        <v>26.712</v>
      </c>
      <c r="F72" s="63"/>
      <c r="G72" s="61"/>
      <c r="H72" s="45">
        <f t="shared" si="0"/>
        <v>0</v>
      </c>
      <c r="I72" s="61"/>
      <c r="J72" s="61"/>
      <c r="K72" s="46">
        <f t="shared" si="1"/>
        <v>0</v>
      </c>
      <c r="L72" s="47">
        <f t="shared" si="2"/>
        <v>0</v>
      </c>
      <c r="M72" s="45">
        <f t="shared" si="3"/>
        <v>0</v>
      </c>
      <c r="N72" s="45">
        <f t="shared" si="4"/>
        <v>0</v>
      </c>
      <c r="O72" s="45">
        <f t="shared" si="5"/>
        <v>0</v>
      </c>
      <c r="P72" s="46">
        <f t="shared" si="6"/>
        <v>0</v>
      </c>
    </row>
    <row r="73" spans="1:16" ht="13.2" x14ac:dyDescent="0.2">
      <c r="A73" s="168"/>
      <c r="B73" s="170"/>
      <c r="C73" s="107" t="s">
        <v>183</v>
      </c>
      <c r="D73" s="168" t="s">
        <v>87</v>
      </c>
      <c r="E73" s="108">
        <f>E71*0.3</f>
        <v>44.52</v>
      </c>
      <c r="F73" s="63"/>
      <c r="G73" s="61"/>
      <c r="H73" s="45">
        <f t="shared" si="0"/>
        <v>0</v>
      </c>
      <c r="I73" s="61"/>
      <c r="J73" s="61"/>
      <c r="K73" s="46">
        <f t="shared" si="1"/>
        <v>0</v>
      </c>
      <c r="L73" s="47">
        <f t="shared" si="2"/>
        <v>0</v>
      </c>
      <c r="M73" s="45">
        <f t="shared" si="3"/>
        <v>0</v>
      </c>
      <c r="N73" s="45">
        <f t="shared" si="4"/>
        <v>0</v>
      </c>
      <c r="O73" s="45">
        <f t="shared" si="5"/>
        <v>0</v>
      </c>
      <c r="P73" s="46">
        <f t="shared" si="6"/>
        <v>0</v>
      </c>
    </row>
    <row r="74" spans="1:16" ht="39.6" x14ac:dyDescent="0.25">
      <c r="A74" s="168">
        <v>21</v>
      </c>
      <c r="B74" s="105" t="s">
        <v>90</v>
      </c>
      <c r="C74" s="156" t="s">
        <v>97</v>
      </c>
      <c r="D74" s="157" t="s">
        <v>63</v>
      </c>
      <c r="E74" s="158">
        <v>154</v>
      </c>
      <c r="F74" s="63"/>
      <c r="G74" s="61"/>
      <c r="H74" s="45">
        <f t="shared" si="0"/>
        <v>0</v>
      </c>
      <c r="I74" s="61"/>
      <c r="J74" s="61"/>
      <c r="K74" s="46">
        <f t="shared" si="1"/>
        <v>0</v>
      </c>
      <c r="L74" s="47">
        <f t="shared" si="2"/>
        <v>0</v>
      </c>
      <c r="M74" s="45">
        <f t="shared" si="3"/>
        <v>0</v>
      </c>
      <c r="N74" s="45">
        <f t="shared" si="4"/>
        <v>0</v>
      </c>
      <c r="O74" s="45">
        <f t="shared" si="5"/>
        <v>0</v>
      </c>
      <c r="P74" s="46">
        <f t="shared" si="6"/>
        <v>0</v>
      </c>
    </row>
    <row r="75" spans="1:16" ht="13.2" x14ac:dyDescent="0.25">
      <c r="A75" s="168"/>
      <c r="B75" s="105"/>
      <c r="C75" s="156" t="s">
        <v>195</v>
      </c>
      <c r="D75" s="157" t="s">
        <v>141</v>
      </c>
      <c r="E75" s="158">
        <v>170</v>
      </c>
      <c r="F75" s="63"/>
      <c r="G75" s="61"/>
      <c r="H75" s="45">
        <f t="shared" si="0"/>
        <v>0</v>
      </c>
      <c r="I75" s="61"/>
      <c r="J75" s="61"/>
      <c r="K75" s="46">
        <f t="shared" si="1"/>
        <v>0</v>
      </c>
      <c r="L75" s="47">
        <f t="shared" si="2"/>
        <v>0</v>
      </c>
      <c r="M75" s="45">
        <f t="shared" si="3"/>
        <v>0</v>
      </c>
      <c r="N75" s="45">
        <f t="shared" si="4"/>
        <v>0</v>
      </c>
      <c r="O75" s="45">
        <f t="shared" si="5"/>
        <v>0</v>
      </c>
      <c r="P75" s="46">
        <f t="shared" si="6"/>
        <v>0</v>
      </c>
    </row>
    <row r="76" spans="1:16" ht="39.6" x14ac:dyDescent="0.25">
      <c r="A76" s="168"/>
      <c r="B76" s="105"/>
      <c r="C76" s="156" t="s">
        <v>101</v>
      </c>
      <c r="D76" s="157" t="s">
        <v>102</v>
      </c>
      <c r="E76" s="158">
        <v>1</v>
      </c>
      <c r="F76" s="63"/>
      <c r="G76" s="61"/>
      <c r="H76" s="45">
        <f t="shared" si="0"/>
        <v>0</v>
      </c>
      <c r="I76" s="61"/>
      <c r="J76" s="61"/>
      <c r="K76" s="46">
        <f t="shared" si="1"/>
        <v>0</v>
      </c>
      <c r="L76" s="47">
        <f t="shared" si="2"/>
        <v>0</v>
      </c>
      <c r="M76" s="45">
        <f t="shared" si="3"/>
        <v>0</v>
      </c>
      <c r="N76" s="45">
        <f t="shared" si="4"/>
        <v>0</v>
      </c>
      <c r="O76" s="45">
        <f t="shared" si="5"/>
        <v>0</v>
      </c>
      <c r="P76" s="46">
        <f t="shared" si="6"/>
        <v>0</v>
      </c>
    </row>
    <row r="77" spans="1:16" ht="26.4" x14ac:dyDescent="0.2">
      <c r="A77" s="168">
        <v>22</v>
      </c>
      <c r="B77" s="170" t="s">
        <v>117</v>
      </c>
      <c r="C77" s="95" t="s">
        <v>196</v>
      </c>
      <c r="D77" s="168" t="s">
        <v>66</v>
      </c>
      <c r="E77" s="106">
        <v>4</v>
      </c>
      <c r="F77" s="63"/>
      <c r="G77" s="61"/>
      <c r="H77" s="45">
        <f t="shared" si="0"/>
        <v>0</v>
      </c>
      <c r="I77" s="61"/>
      <c r="J77" s="61"/>
      <c r="K77" s="46">
        <f t="shared" si="1"/>
        <v>0</v>
      </c>
      <c r="L77" s="47">
        <f t="shared" si="2"/>
        <v>0</v>
      </c>
      <c r="M77" s="45">
        <f t="shared" si="3"/>
        <v>0</v>
      </c>
      <c r="N77" s="45">
        <f t="shared" si="4"/>
        <v>0</v>
      </c>
      <c r="O77" s="45">
        <f t="shared" si="5"/>
        <v>0</v>
      </c>
      <c r="P77" s="46">
        <f t="shared" si="6"/>
        <v>0</v>
      </c>
    </row>
    <row r="78" spans="1:16" ht="26.4" x14ac:dyDescent="0.2">
      <c r="A78" s="168">
        <v>23</v>
      </c>
      <c r="B78" s="170" t="s">
        <v>117</v>
      </c>
      <c r="C78" s="95" t="s">
        <v>197</v>
      </c>
      <c r="D78" s="168" t="s">
        <v>66</v>
      </c>
      <c r="E78" s="106">
        <v>4</v>
      </c>
      <c r="F78" s="63"/>
      <c r="G78" s="61"/>
      <c r="H78" s="45">
        <f t="shared" si="0"/>
        <v>0</v>
      </c>
      <c r="I78" s="61"/>
      <c r="J78" s="61"/>
      <c r="K78" s="46">
        <f t="shared" si="1"/>
        <v>0</v>
      </c>
      <c r="L78" s="47">
        <f t="shared" si="2"/>
        <v>0</v>
      </c>
      <c r="M78" s="45">
        <f t="shared" si="3"/>
        <v>0</v>
      </c>
      <c r="N78" s="45">
        <f t="shared" si="4"/>
        <v>0</v>
      </c>
      <c r="O78" s="45">
        <f t="shared" si="5"/>
        <v>0</v>
      </c>
      <c r="P78" s="46">
        <f t="shared" si="6"/>
        <v>0</v>
      </c>
    </row>
    <row r="79" spans="1:16" ht="13.2" x14ac:dyDescent="0.2">
      <c r="A79" s="168">
        <v>24</v>
      </c>
      <c r="B79" s="170" t="s">
        <v>117</v>
      </c>
      <c r="C79" s="95" t="s">
        <v>198</v>
      </c>
      <c r="D79" s="168" t="s">
        <v>66</v>
      </c>
      <c r="E79" s="106">
        <v>4</v>
      </c>
      <c r="F79" s="63"/>
      <c r="G79" s="61"/>
      <c r="H79" s="45">
        <f t="shared" ref="H79:H80" si="7">ROUND(F79*G79,2)</f>
        <v>0</v>
      </c>
      <c r="I79" s="61"/>
      <c r="J79" s="61"/>
      <c r="K79" s="46">
        <f t="shared" ref="K79:K80" si="8">SUM(H79:J79)</f>
        <v>0</v>
      </c>
      <c r="L79" s="47">
        <f t="shared" ref="L79:L80" si="9">ROUND(E79*F79,2)</f>
        <v>0</v>
      </c>
      <c r="M79" s="45">
        <f t="shared" ref="M79:M80" si="10">ROUND(H79*E79,2)</f>
        <v>0</v>
      </c>
      <c r="N79" s="45">
        <f t="shared" ref="N79:N80" si="11">ROUND(I79*E79,2)</f>
        <v>0</v>
      </c>
      <c r="O79" s="45">
        <f t="shared" ref="O79:O80" si="12">ROUND(J79*E79,2)</f>
        <v>0</v>
      </c>
      <c r="P79" s="46">
        <f t="shared" ref="P79:P80" si="13">SUM(M79:O79)</f>
        <v>0</v>
      </c>
    </row>
    <row r="80" spans="1:16" ht="27" thickBot="1" x14ac:dyDescent="0.25">
      <c r="A80" s="168">
        <v>25</v>
      </c>
      <c r="B80" s="170" t="s">
        <v>199</v>
      </c>
      <c r="C80" s="95" t="s">
        <v>200</v>
      </c>
      <c r="D80" s="168" t="s">
        <v>63</v>
      </c>
      <c r="E80" s="190">
        <f>8*1.2+2*1.7+45*1.5+76*1.15+5*1.2+14*6.2+25*6.4+5*6.5+5*3+4*2.5+44*1.5+16*2.95</f>
        <v>591.40000000000009</v>
      </c>
      <c r="F80" s="63"/>
      <c r="G80" s="61"/>
      <c r="H80" s="45">
        <f t="shared" si="7"/>
        <v>0</v>
      </c>
      <c r="I80" s="61"/>
      <c r="J80" s="61"/>
      <c r="K80" s="46">
        <f t="shared" si="8"/>
        <v>0</v>
      </c>
      <c r="L80" s="47">
        <f t="shared" si="9"/>
        <v>0</v>
      </c>
      <c r="M80" s="45">
        <f t="shared" si="10"/>
        <v>0</v>
      </c>
      <c r="N80" s="45">
        <f t="shared" si="11"/>
        <v>0</v>
      </c>
      <c r="O80" s="45">
        <f t="shared" si="12"/>
        <v>0</v>
      </c>
      <c r="P80" s="46">
        <f t="shared" si="13"/>
        <v>0</v>
      </c>
    </row>
    <row r="81" spans="1:16" ht="10.8" thickBot="1" x14ac:dyDescent="0.25">
      <c r="A81" s="280" t="s">
        <v>243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2"/>
      <c r="L81" s="64">
        <f>SUM(L14:L80)</f>
        <v>0</v>
      </c>
      <c r="M81" s="65">
        <f>SUM(M14:M80)</f>
        <v>0</v>
      </c>
      <c r="N81" s="65">
        <f>SUM(N14:N80)</f>
        <v>0</v>
      </c>
      <c r="O81" s="65">
        <f>SUM(O14:O80)</f>
        <v>0</v>
      </c>
      <c r="P81" s="66">
        <f>SUM(P14:P80)</f>
        <v>0</v>
      </c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" t="s">
        <v>14</v>
      </c>
      <c r="B84" s="17"/>
      <c r="C84" s="279">
        <f>'2a'!C64:H64</f>
        <v>0</v>
      </c>
      <c r="D84" s="279"/>
      <c r="E84" s="279"/>
      <c r="F84" s="279"/>
      <c r="G84" s="279"/>
      <c r="H84" s="279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231" t="s">
        <v>15</v>
      </c>
      <c r="D85" s="231"/>
      <c r="E85" s="231"/>
      <c r="F85" s="231"/>
      <c r="G85" s="231"/>
      <c r="H85" s="231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83"/>
      <c r="B87" s="84"/>
      <c r="C87" s="84"/>
      <c r="D87" s="84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" t="s">
        <v>37</v>
      </c>
      <c r="B89" s="17"/>
      <c r="C89" s="279">
        <f>'2a'!C69:H69</f>
        <v>0</v>
      </c>
      <c r="D89" s="279"/>
      <c r="E89" s="279"/>
      <c r="F89" s="279"/>
      <c r="G89" s="279"/>
      <c r="H89" s="279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17"/>
      <c r="B90" s="17"/>
      <c r="C90" s="231" t="s">
        <v>15</v>
      </c>
      <c r="D90" s="231"/>
      <c r="E90" s="231"/>
      <c r="F90" s="231"/>
      <c r="G90" s="231"/>
      <c r="H90" s="231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83" t="s">
        <v>54</v>
      </c>
      <c r="B92" s="84"/>
      <c r="C92" s="88">
        <f>'2a'!C72</f>
        <v>0</v>
      </c>
      <c r="D92" s="48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90:H90"/>
    <mergeCell ref="C4:I4"/>
    <mergeCell ref="F12:K12"/>
    <mergeCell ref="A9:F9"/>
    <mergeCell ref="J9:M9"/>
    <mergeCell ref="D8:L8"/>
    <mergeCell ref="A81:K81"/>
    <mergeCell ref="C84:H84"/>
    <mergeCell ref="C85:H85"/>
    <mergeCell ref="C89:H89"/>
  </mergeCells>
  <conditionalFormatting sqref="A15:G80 I15:J80">
    <cfRule type="cellIs" dxfId="118" priority="37" operator="equal">
      <formula>0</formula>
    </cfRule>
  </conditionalFormatting>
  <conditionalFormatting sqref="N9:O9 H14:H80 K14:P80">
    <cfRule type="cellIs" dxfId="117" priority="36" operator="equal">
      <formula>0</formula>
    </cfRule>
  </conditionalFormatting>
  <conditionalFormatting sqref="C2:I2">
    <cfRule type="cellIs" dxfId="115" priority="33" operator="equal">
      <formula>0</formula>
    </cfRule>
  </conditionalFormatting>
  <conditionalFormatting sqref="O10">
    <cfRule type="cellIs" dxfId="114" priority="32" operator="equal">
      <formula>"20__. gada __. _________"</formula>
    </cfRule>
  </conditionalFormatting>
  <conditionalFormatting sqref="A81:K81">
    <cfRule type="containsText" dxfId="113" priority="31" operator="containsText" text="Tiešās izmaksas kopā, t. sk. darba devēja sociālais nodoklis __.__% ">
      <formula>NOT(ISERROR(SEARCH("Tiešās izmaksas kopā, t. sk. darba devēja sociālais nodoklis __.__% ",A81)))</formula>
    </cfRule>
  </conditionalFormatting>
  <conditionalFormatting sqref="L81:P81">
    <cfRule type="cellIs" dxfId="112" priority="26" operator="equal">
      <formula>0</formula>
    </cfRule>
  </conditionalFormatting>
  <conditionalFormatting sqref="C4:I4">
    <cfRule type="cellIs" dxfId="111" priority="25" operator="equal">
      <formula>0</formula>
    </cfRule>
  </conditionalFormatting>
  <conditionalFormatting sqref="D5:L8">
    <cfRule type="cellIs" dxfId="110" priority="22" operator="equal">
      <formula>0</formula>
    </cfRule>
  </conditionalFormatting>
  <conditionalFormatting sqref="A14:B14 D14:G14">
    <cfRule type="cellIs" dxfId="109" priority="21" operator="equal">
      <formula>0</formula>
    </cfRule>
  </conditionalFormatting>
  <conditionalFormatting sqref="C14">
    <cfRule type="cellIs" dxfId="108" priority="20" operator="equal">
      <formula>0</formula>
    </cfRule>
  </conditionalFormatting>
  <conditionalFormatting sqref="I14:J14">
    <cfRule type="cellIs" dxfId="107" priority="19" operator="equal">
      <formula>0</formula>
    </cfRule>
  </conditionalFormatting>
  <conditionalFormatting sqref="P10">
    <cfRule type="cellIs" dxfId="106" priority="18" operator="equal">
      <formula>"20__. gada __. _________"</formula>
    </cfRule>
  </conditionalFormatting>
  <conditionalFormatting sqref="C89:H89">
    <cfRule type="cellIs" dxfId="105" priority="4" operator="equal">
      <formula>0</formula>
    </cfRule>
  </conditionalFormatting>
  <conditionalFormatting sqref="D1">
    <cfRule type="cellIs" dxfId="104" priority="12" operator="equal">
      <formula>0</formula>
    </cfRule>
  </conditionalFormatting>
  <conditionalFormatting sqref="C84:H84">
    <cfRule type="cellIs" dxfId="103" priority="3" operator="equal">
      <formula>0</formula>
    </cfRule>
  </conditionalFormatting>
  <conditionalFormatting sqref="C89:H89 C92 C84:H84">
    <cfRule type="cellIs" dxfId="102" priority="2" operator="equal">
      <formula>0</formula>
    </cfRule>
  </conditionalFormatting>
  <conditionalFormatting sqref="A9:F9">
    <cfRule type="containsText" dxfId="1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641AB07D-C228-F54D-8D19-7F9A329B9032}">
            <xm:f>NOT(ISERROR(SEARCH("Tāme sastādīta ____. gada ___. ______________",A87)))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containsText" priority="5" operator="containsText" id="{5CB00B75-4C88-D54A-8887-80AAD0304B48}">
            <xm:f>NOT(ISERROR(SEARCH("Sertifikāta Nr. _________________________________",A92)))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pageSetUpPr fitToPage="1"/>
  </sheetPr>
  <dimension ref="A1:P77"/>
  <sheetViews>
    <sheetView zoomScaleNormal="100" workbookViewId="0">
      <selection activeCell="A9" sqref="A9:F9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8" width="6.6640625" style="1" customWidth="1"/>
    <col min="9" max="9" width="5.109375" style="1" customWidth="1"/>
    <col min="10" max="10" width="4.6640625" style="1" customWidth="1"/>
    <col min="11" max="11" width="4.44140625" style="1" customWidth="1"/>
    <col min="12" max="12" width="5.33203125" style="1" customWidth="1"/>
    <col min="13" max="13" width="4.77734375" style="1" customWidth="1"/>
    <col min="14" max="14" width="4.44140625" style="1" customWidth="1"/>
    <col min="15" max="16" width="4.6640625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v>4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201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202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P65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A71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3.2" x14ac:dyDescent="0.2">
      <c r="A14" s="90"/>
      <c r="B14" s="167"/>
      <c r="C14" s="92"/>
      <c r="D14" s="168"/>
      <c r="E14" s="94"/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15.6" x14ac:dyDescent="0.2">
      <c r="A15" s="90">
        <v>1</v>
      </c>
      <c r="B15" s="167" t="s">
        <v>122</v>
      </c>
      <c r="C15" s="95" t="s">
        <v>203</v>
      </c>
      <c r="D15" s="168" t="s">
        <v>160</v>
      </c>
      <c r="E15" s="94">
        <v>70</v>
      </c>
      <c r="F15" s="63"/>
      <c r="G15" s="61"/>
      <c r="H15" s="45">
        <f t="shared" ref="H15:H64" si="0">ROUND(F15*G15,2)</f>
        <v>0</v>
      </c>
      <c r="I15" s="61"/>
      <c r="J15" s="61"/>
      <c r="K15" s="46">
        <f t="shared" ref="K15:K64" si="1">SUM(H15:J15)</f>
        <v>0</v>
      </c>
      <c r="L15" s="47">
        <f t="shared" ref="L15:L64" si="2">ROUND(E15*F15,2)</f>
        <v>0</v>
      </c>
      <c r="M15" s="45">
        <f t="shared" ref="M15:M64" si="3">ROUND(H15*E15,2)</f>
        <v>0</v>
      </c>
      <c r="N15" s="45">
        <f t="shared" ref="N15:N64" si="4">ROUND(I15*E15,2)</f>
        <v>0</v>
      </c>
      <c r="O15" s="45">
        <f t="shared" ref="O15:O64" si="5">ROUND(J15*E15,2)</f>
        <v>0</v>
      </c>
      <c r="P15" s="46">
        <f t="shared" ref="P15:P64" si="6">SUM(M15:O15)</f>
        <v>0</v>
      </c>
    </row>
    <row r="16" spans="1:16" ht="39.6" x14ac:dyDescent="0.2">
      <c r="A16" s="90">
        <v>2</v>
      </c>
      <c r="B16" s="167" t="s">
        <v>122</v>
      </c>
      <c r="C16" s="95" t="s">
        <v>204</v>
      </c>
      <c r="D16" s="168" t="s">
        <v>160</v>
      </c>
      <c r="E16" s="191">
        <v>120.3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15.6" x14ac:dyDescent="0.2">
      <c r="A17" s="90">
        <f t="shared" ref="A17:A20" si="7">A16+1</f>
        <v>3</v>
      </c>
      <c r="B17" s="167" t="s">
        <v>61</v>
      </c>
      <c r="C17" s="95" t="s">
        <v>205</v>
      </c>
      <c r="D17" s="168" t="s">
        <v>206</v>
      </c>
      <c r="E17" s="191">
        <v>116.3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26.4" x14ac:dyDescent="0.2">
      <c r="A18" s="90">
        <f t="shared" si="7"/>
        <v>4</v>
      </c>
      <c r="B18" s="167" t="s">
        <v>61</v>
      </c>
      <c r="C18" s="95" t="s">
        <v>207</v>
      </c>
      <c r="D18" s="168" t="s">
        <v>160</v>
      </c>
      <c r="E18" s="191">
        <v>263.3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6.4" x14ac:dyDescent="0.2">
      <c r="A19" s="90">
        <f t="shared" si="7"/>
        <v>5</v>
      </c>
      <c r="B19" s="167" t="s">
        <v>61</v>
      </c>
      <c r="C19" s="95" t="s">
        <v>208</v>
      </c>
      <c r="D19" s="168" t="s">
        <v>160</v>
      </c>
      <c r="E19" s="191">
        <f>E18</f>
        <v>263.3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39.6" x14ac:dyDescent="0.2">
      <c r="A20" s="108">
        <f t="shared" si="7"/>
        <v>6</v>
      </c>
      <c r="B20" s="170" t="s">
        <v>113</v>
      </c>
      <c r="C20" s="171" t="s">
        <v>209</v>
      </c>
      <c r="D20" s="91" t="s">
        <v>210</v>
      </c>
      <c r="E20" s="185">
        <v>263.3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26.4" x14ac:dyDescent="0.2">
      <c r="A21" s="91"/>
      <c r="B21" s="167"/>
      <c r="C21" s="171" t="s">
        <v>211</v>
      </c>
      <c r="D21" s="91" t="s">
        <v>210</v>
      </c>
      <c r="E21" s="185">
        <f>E20*1.1</f>
        <v>289.63000000000005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6.4" x14ac:dyDescent="0.2">
      <c r="A22" s="91"/>
      <c r="B22" s="167"/>
      <c r="C22" s="171" t="s">
        <v>212</v>
      </c>
      <c r="D22" s="91" t="s">
        <v>87</v>
      </c>
      <c r="E22" s="186">
        <f>ROUND(E20*3,0)</f>
        <v>790</v>
      </c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26.4" x14ac:dyDescent="0.2">
      <c r="A23" s="90">
        <v>7</v>
      </c>
      <c r="B23" s="170" t="s">
        <v>83</v>
      </c>
      <c r="C23" s="171" t="s">
        <v>213</v>
      </c>
      <c r="D23" s="91" t="s">
        <v>210</v>
      </c>
      <c r="E23" s="191">
        <v>124.9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5.6" x14ac:dyDescent="0.2">
      <c r="A24" s="91"/>
      <c r="B24" s="167"/>
      <c r="C24" s="107" t="s">
        <v>177</v>
      </c>
      <c r="D24" s="91" t="s">
        <v>186</v>
      </c>
      <c r="E24" s="185">
        <f>E23*1.15</f>
        <v>143.63499999999999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3.2" x14ac:dyDescent="0.2">
      <c r="A25" s="91"/>
      <c r="B25" s="167"/>
      <c r="C25" s="107" t="s">
        <v>171</v>
      </c>
      <c r="D25" s="91" t="s">
        <v>87</v>
      </c>
      <c r="E25" s="186">
        <f>SUM(E23)*6</f>
        <v>749.40000000000009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3.2" x14ac:dyDescent="0.2">
      <c r="A26" s="91"/>
      <c r="B26" s="167"/>
      <c r="C26" s="107" t="s">
        <v>178</v>
      </c>
      <c r="D26" s="91" t="s">
        <v>63</v>
      </c>
      <c r="E26" s="185">
        <v>60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5.6" x14ac:dyDescent="0.2">
      <c r="A27" s="184">
        <f>A23+1</f>
        <v>8</v>
      </c>
      <c r="B27" s="170" t="s">
        <v>83</v>
      </c>
      <c r="C27" s="95" t="s">
        <v>214</v>
      </c>
      <c r="D27" s="168" t="s">
        <v>160</v>
      </c>
      <c r="E27" s="185">
        <f>E23</f>
        <v>124.9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6.4" x14ac:dyDescent="0.2">
      <c r="A28" s="168"/>
      <c r="B28" s="170"/>
      <c r="C28" s="107" t="s">
        <v>168</v>
      </c>
      <c r="D28" s="168" t="s">
        <v>87</v>
      </c>
      <c r="E28" s="186">
        <f>E27*0.18</f>
        <v>22.481999999999999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3.2" x14ac:dyDescent="0.2">
      <c r="A29" s="168"/>
      <c r="B29" s="170"/>
      <c r="C29" s="107" t="s">
        <v>215</v>
      </c>
      <c r="D29" s="168" t="s">
        <v>87</v>
      </c>
      <c r="E29" s="186">
        <f>E27*1.8*2.5</f>
        <v>562.05000000000007</v>
      </c>
      <c r="F29" s="63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5.6" x14ac:dyDescent="0.2">
      <c r="A30" s="168">
        <f>A27+1</f>
        <v>9</v>
      </c>
      <c r="B30" s="170" t="s">
        <v>83</v>
      </c>
      <c r="C30" s="95" t="s">
        <v>216</v>
      </c>
      <c r="D30" s="168" t="s">
        <v>160</v>
      </c>
      <c r="E30" s="185">
        <f>E27</f>
        <v>124.9</v>
      </c>
      <c r="F30" s="63"/>
      <c r="G30" s="61"/>
      <c r="H30" s="45">
        <f t="shared" si="0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26.4" x14ac:dyDescent="0.2">
      <c r="A31" s="168"/>
      <c r="B31" s="170"/>
      <c r="C31" s="107" t="s">
        <v>217</v>
      </c>
      <c r="D31" s="168" t="s">
        <v>87</v>
      </c>
      <c r="E31" s="186">
        <f>E30*0.18</f>
        <v>22.481999999999999</v>
      </c>
      <c r="F31" s="63"/>
      <c r="G31" s="61"/>
      <c r="H31" s="45">
        <f t="shared" si="0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26.4" x14ac:dyDescent="0.2">
      <c r="A32" s="168"/>
      <c r="B32" s="170"/>
      <c r="C32" s="107" t="s">
        <v>218</v>
      </c>
      <c r="D32" s="168" t="s">
        <v>87</v>
      </c>
      <c r="E32" s="186">
        <f>E30*0.3</f>
        <v>37.47</v>
      </c>
      <c r="F32" s="63"/>
      <c r="G32" s="61"/>
      <c r="H32" s="45">
        <f t="shared" si="0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39.6" x14ac:dyDescent="0.2">
      <c r="A33" s="168">
        <v>10</v>
      </c>
      <c r="B33" s="170" t="s">
        <v>113</v>
      </c>
      <c r="C33" s="171" t="s">
        <v>184</v>
      </c>
      <c r="D33" s="168" t="s">
        <v>92</v>
      </c>
      <c r="E33" s="185">
        <v>10.24</v>
      </c>
      <c r="F33" s="63"/>
      <c r="G33" s="61"/>
      <c r="H33" s="45">
        <f t="shared" si="0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26.4" x14ac:dyDescent="0.2">
      <c r="A34" s="168"/>
      <c r="B34" s="167"/>
      <c r="C34" s="171" t="s">
        <v>219</v>
      </c>
      <c r="D34" s="91" t="s">
        <v>92</v>
      </c>
      <c r="E34" s="185">
        <f>E33*1.05</f>
        <v>10.752000000000001</v>
      </c>
      <c r="F34" s="63"/>
      <c r="G34" s="61"/>
      <c r="H34" s="45">
        <f t="shared" si="0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13.2" x14ac:dyDescent="0.2">
      <c r="A35" s="168"/>
      <c r="B35" s="167"/>
      <c r="C35" s="171" t="s">
        <v>220</v>
      </c>
      <c r="D35" s="91" t="s">
        <v>63</v>
      </c>
      <c r="E35" s="185">
        <v>60</v>
      </c>
      <c r="F35" s="63"/>
      <c r="G35" s="61"/>
      <c r="H35" s="45">
        <f t="shared" si="0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13.2" x14ac:dyDescent="0.2">
      <c r="A36" s="168"/>
      <c r="B36" s="167"/>
      <c r="C36" s="107" t="s">
        <v>171</v>
      </c>
      <c r="D36" s="91" t="s">
        <v>87</v>
      </c>
      <c r="E36" s="186">
        <f>E33*6</f>
        <v>61.44</v>
      </c>
      <c r="F36" s="63"/>
      <c r="G36" s="61"/>
      <c r="H36" s="45">
        <f t="shared" si="0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13.2" x14ac:dyDescent="0.2">
      <c r="A37" s="168"/>
      <c r="B37" s="167"/>
      <c r="C37" s="95" t="s">
        <v>187</v>
      </c>
      <c r="D37" s="91" t="s">
        <v>173</v>
      </c>
      <c r="E37" s="186">
        <f>E33*5</f>
        <v>51.2</v>
      </c>
      <c r="F37" s="63"/>
      <c r="G37" s="61"/>
      <c r="H37" s="45">
        <f t="shared" si="0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6.4" x14ac:dyDescent="0.2">
      <c r="A38" s="168">
        <v>11</v>
      </c>
      <c r="B38" s="170" t="s">
        <v>83</v>
      </c>
      <c r="C38" s="95" t="s">
        <v>188</v>
      </c>
      <c r="D38" s="168" t="s">
        <v>92</v>
      </c>
      <c r="E38" s="185">
        <f>E33</f>
        <v>10.24</v>
      </c>
      <c r="F38" s="63"/>
      <c r="G38" s="61"/>
      <c r="H38" s="45">
        <f t="shared" si="0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13.2" x14ac:dyDescent="0.2">
      <c r="A39" s="168"/>
      <c r="B39" s="170"/>
      <c r="C39" s="107" t="s">
        <v>177</v>
      </c>
      <c r="D39" s="168" t="s">
        <v>92</v>
      </c>
      <c r="E39" s="185">
        <f>E38*1.03</f>
        <v>10.5472</v>
      </c>
      <c r="F39" s="63"/>
      <c r="G39" s="61"/>
      <c r="H39" s="45">
        <f t="shared" si="0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13.2" x14ac:dyDescent="0.2">
      <c r="A40" s="168"/>
      <c r="B40" s="170"/>
      <c r="C40" s="107" t="s">
        <v>171</v>
      </c>
      <c r="D40" s="168" t="s">
        <v>87</v>
      </c>
      <c r="E40" s="186">
        <f>E38*6</f>
        <v>61.44</v>
      </c>
      <c r="F40" s="63"/>
      <c r="G40" s="61"/>
      <c r="H40" s="45">
        <f t="shared" si="0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13.2" x14ac:dyDescent="0.2">
      <c r="A41" s="168"/>
      <c r="B41" s="170"/>
      <c r="C41" s="95" t="s">
        <v>221</v>
      </c>
      <c r="D41" s="168" t="s">
        <v>63</v>
      </c>
      <c r="E41" s="185">
        <v>130</v>
      </c>
      <c r="F41" s="63"/>
      <c r="G41" s="61"/>
      <c r="H41" s="45">
        <f t="shared" si="0"/>
        <v>0</v>
      </c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13.2" x14ac:dyDescent="0.2">
      <c r="A42" s="168">
        <v>12</v>
      </c>
      <c r="B42" s="170" t="s">
        <v>83</v>
      </c>
      <c r="C42" s="95" t="s">
        <v>189</v>
      </c>
      <c r="D42" s="168" t="s">
        <v>92</v>
      </c>
      <c r="E42" s="185">
        <f>SUM(E33)</f>
        <v>10.24</v>
      </c>
      <c r="F42" s="63"/>
      <c r="G42" s="61"/>
      <c r="H42" s="45">
        <f t="shared" si="0"/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26.4" x14ac:dyDescent="0.2">
      <c r="A43" s="168"/>
      <c r="B43" s="170"/>
      <c r="C43" s="107" t="s">
        <v>168</v>
      </c>
      <c r="D43" s="168" t="s">
        <v>87</v>
      </c>
      <c r="E43" s="186">
        <f>E42*0.18</f>
        <v>1.8431999999999999</v>
      </c>
      <c r="F43" s="63"/>
      <c r="G43" s="61"/>
      <c r="H43" s="45">
        <f t="shared" si="0"/>
        <v>0</v>
      </c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13.2" x14ac:dyDescent="0.2">
      <c r="A44" s="168"/>
      <c r="B44" s="170"/>
      <c r="C44" s="107" t="s">
        <v>215</v>
      </c>
      <c r="D44" s="168" t="s">
        <v>87</v>
      </c>
      <c r="E44" s="186">
        <f>E42*1.8*2.5</f>
        <v>46.080000000000005</v>
      </c>
      <c r="F44" s="63"/>
      <c r="G44" s="61"/>
      <c r="H44" s="45">
        <f t="shared" si="0"/>
        <v>0</v>
      </c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26.4" x14ac:dyDescent="0.2">
      <c r="A45" s="168">
        <v>13</v>
      </c>
      <c r="B45" s="170" t="s">
        <v>83</v>
      </c>
      <c r="C45" s="95" t="s">
        <v>190</v>
      </c>
      <c r="D45" s="168" t="s">
        <v>92</v>
      </c>
      <c r="E45" s="185">
        <f>E42</f>
        <v>10.24</v>
      </c>
      <c r="F45" s="63"/>
      <c r="G45" s="61"/>
      <c r="H45" s="45">
        <f t="shared" si="0"/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ht="26.4" x14ac:dyDescent="0.2">
      <c r="A46" s="168"/>
      <c r="B46" s="170"/>
      <c r="C46" s="107" t="s">
        <v>217</v>
      </c>
      <c r="D46" s="168" t="s">
        <v>87</v>
      </c>
      <c r="E46" s="186">
        <f>E45*0.18</f>
        <v>1.8431999999999999</v>
      </c>
      <c r="F46" s="63"/>
      <c r="G46" s="61"/>
      <c r="H46" s="45">
        <f t="shared" si="0"/>
        <v>0</v>
      </c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ht="26.4" x14ac:dyDescent="0.2">
      <c r="A47" s="168"/>
      <c r="B47" s="170"/>
      <c r="C47" s="107" t="s">
        <v>218</v>
      </c>
      <c r="D47" s="168" t="s">
        <v>87</v>
      </c>
      <c r="E47" s="186">
        <f>E45*0.3</f>
        <v>3.0720000000000001</v>
      </c>
      <c r="F47" s="63"/>
      <c r="G47" s="61"/>
      <c r="H47" s="45">
        <f t="shared" si="0"/>
        <v>0</v>
      </c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26.4" x14ac:dyDescent="0.2">
      <c r="A48" s="108">
        <v>10</v>
      </c>
      <c r="B48" s="167" t="s">
        <v>61</v>
      </c>
      <c r="C48" s="171" t="s">
        <v>222</v>
      </c>
      <c r="D48" s="168" t="s">
        <v>223</v>
      </c>
      <c r="E48" s="185">
        <f>E17</f>
        <v>116.3</v>
      </c>
      <c r="F48" s="63"/>
      <c r="G48" s="61"/>
      <c r="H48" s="45">
        <f t="shared" si="0"/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15.6" x14ac:dyDescent="0.2">
      <c r="A49" s="108"/>
      <c r="B49" s="167"/>
      <c r="C49" s="171" t="s">
        <v>224</v>
      </c>
      <c r="D49" s="168" t="s">
        <v>223</v>
      </c>
      <c r="E49" s="185">
        <f>E48*1.25</f>
        <v>145.375</v>
      </c>
      <c r="F49" s="63"/>
      <c r="G49" s="61"/>
      <c r="H49" s="45">
        <f t="shared" si="0"/>
        <v>0</v>
      </c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15.6" x14ac:dyDescent="0.2">
      <c r="A50" s="90">
        <v>11</v>
      </c>
      <c r="B50" s="167" t="s">
        <v>61</v>
      </c>
      <c r="C50" s="95" t="s">
        <v>225</v>
      </c>
      <c r="D50" s="168" t="s">
        <v>206</v>
      </c>
      <c r="E50" s="191">
        <f>E49</f>
        <v>145.375</v>
      </c>
      <c r="F50" s="63"/>
      <c r="G50" s="61"/>
      <c r="H50" s="45">
        <f t="shared" si="0"/>
        <v>0</v>
      </c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13.2" x14ac:dyDescent="0.2">
      <c r="A51" s="108">
        <v>12</v>
      </c>
      <c r="B51" s="170" t="s">
        <v>61</v>
      </c>
      <c r="C51" s="192" t="s">
        <v>226</v>
      </c>
      <c r="D51" s="193" t="s">
        <v>109</v>
      </c>
      <c r="E51" s="194">
        <f>SUM(E48)/2</f>
        <v>58.15</v>
      </c>
      <c r="F51" s="63"/>
      <c r="G51" s="61"/>
      <c r="H51" s="45">
        <f t="shared" si="0"/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13.2" x14ac:dyDescent="0.2">
      <c r="A52" s="108"/>
      <c r="B52" s="170"/>
      <c r="C52" s="195" t="s">
        <v>227</v>
      </c>
      <c r="D52" s="193" t="s">
        <v>109</v>
      </c>
      <c r="E52" s="180">
        <v>130</v>
      </c>
      <c r="F52" s="63"/>
      <c r="G52" s="61"/>
      <c r="H52" s="45">
        <f t="shared" si="0"/>
        <v>0</v>
      </c>
      <c r="I52" s="61"/>
      <c r="J52" s="61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13.2" x14ac:dyDescent="0.2">
      <c r="A53" s="108">
        <v>13</v>
      </c>
      <c r="B53" s="170" t="s">
        <v>61</v>
      </c>
      <c r="C53" s="192" t="s">
        <v>228</v>
      </c>
      <c r="D53" s="193" t="s">
        <v>92</v>
      </c>
      <c r="E53" s="196">
        <v>69.13</v>
      </c>
      <c r="F53" s="63"/>
      <c r="G53" s="61"/>
      <c r="H53" s="45">
        <f t="shared" si="0"/>
        <v>0</v>
      </c>
      <c r="I53" s="61"/>
      <c r="J53" s="61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ht="13.2" x14ac:dyDescent="0.2">
      <c r="A54" s="108"/>
      <c r="B54" s="170"/>
      <c r="C54" s="195" t="s">
        <v>229</v>
      </c>
      <c r="D54" s="193" t="s">
        <v>109</v>
      </c>
      <c r="E54" s="180">
        <v>15</v>
      </c>
      <c r="F54" s="63"/>
      <c r="G54" s="61"/>
      <c r="H54" s="45">
        <f t="shared" si="0"/>
        <v>0</v>
      </c>
      <c r="I54" s="61"/>
      <c r="J54" s="61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13.2" x14ac:dyDescent="0.2">
      <c r="A55" s="108"/>
      <c r="B55" s="170"/>
      <c r="C55" s="195" t="s">
        <v>230</v>
      </c>
      <c r="D55" s="193" t="s">
        <v>109</v>
      </c>
      <c r="E55" s="180">
        <v>15</v>
      </c>
      <c r="F55" s="63"/>
      <c r="G55" s="61"/>
      <c r="H55" s="45">
        <f t="shared" si="0"/>
        <v>0</v>
      </c>
      <c r="I55" s="61"/>
      <c r="J55" s="61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13.2" x14ac:dyDescent="0.2">
      <c r="A56" s="108">
        <v>14</v>
      </c>
      <c r="B56" s="170" t="s">
        <v>231</v>
      </c>
      <c r="C56" s="192" t="s">
        <v>232</v>
      </c>
      <c r="D56" s="193" t="s">
        <v>63</v>
      </c>
      <c r="E56" s="196">
        <v>102</v>
      </c>
      <c r="F56" s="63"/>
      <c r="G56" s="61"/>
      <c r="H56" s="45">
        <f t="shared" si="0"/>
        <v>0</v>
      </c>
      <c r="I56" s="61"/>
      <c r="J56" s="61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13.2" x14ac:dyDescent="0.2">
      <c r="A57" s="108">
        <v>15</v>
      </c>
      <c r="B57" s="170" t="s">
        <v>231</v>
      </c>
      <c r="C57" s="192" t="s">
        <v>233</v>
      </c>
      <c r="D57" s="193" t="s">
        <v>92</v>
      </c>
      <c r="E57" s="196">
        <v>69.13</v>
      </c>
      <c r="F57" s="63"/>
      <c r="G57" s="61"/>
      <c r="H57" s="45">
        <f t="shared" si="0"/>
        <v>0</v>
      </c>
      <c r="I57" s="61"/>
      <c r="J57" s="61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13.2" x14ac:dyDescent="0.2">
      <c r="A58" s="108"/>
      <c r="B58" s="170"/>
      <c r="C58" s="195" t="s">
        <v>234</v>
      </c>
      <c r="D58" s="193" t="s">
        <v>92</v>
      </c>
      <c r="E58" s="196">
        <f>SUM(E57)*1.1</f>
        <v>76.043000000000006</v>
      </c>
      <c r="F58" s="63"/>
      <c r="G58" s="61"/>
      <c r="H58" s="45">
        <f t="shared" si="0"/>
        <v>0</v>
      </c>
      <c r="I58" s="61"/>
      <c r="J58" s="61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26.4" x14ac:dyDescent="0.2">
      <c r="A59" s="108">
        <v>16</v>
      </c>
      <c r="B59" s="170" t="s">
        <v>235</v>
      </c>
      <c r="C59" s="95" t="s">
        <v>236</v>
      </c>
      <c r="D59" s="169" t="s">
        <v>66</v>
      </c>
      <c r="E59" s="197">
        <v>8</v>
      </c>
      <c r="F59" s="63"/>
      <c r="G59" s="61"/>
      <c r="H59" s="45">
        <f t="shared" si="0"/>
        <v>0</v>
      </c>
      <c r="I59" s="61"/>
      <c r="J59" s="61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13.2" x14ac:dyDescent="0.2">
      <c r="A60" s="108">
        <v>17</v>
      </c>
      <c r="B60" s="170" t="s">
        <v>235</v>
      </c>
      <c r="C60" s="95" t="s">
        <v>237</v>
      </c>
      <c r="D60" s="169" t="s">
        <v>92</v>
      </c>
      <c r="E60" s="197">
        <v>30</v>
      </c>
      <c r="F60" s="63"/>
      <c r="G60" s="61"/>
      <c r="H60" s="45">
        <f t="shared" si="0"/>
        <v>0</v>
      </c>
      <c r="I60" s="61"/>
      <c r="J60" s="61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13.2" x14ac:dyDescent="0.2">
      <c r="A61" s="108">
        <v>18</v>
      </c>
      <c r="B61" s="170" t="s">
        <v>122</v>
      </c>
      <c r="C61" s="95" t="s">
        <v>238</v>
      </c>
      <c r="D61" s="168" t="s">
        <v>66</v>
      </c>
      <c r="E61" s="183">
        <v>4</v>
      </c>
      <c r="F61" s="63"/>
      <c r="G61" s="61"/>
      <c r="H61" s="45">
        <f t="shared" si="0"/>
        <v>0</v>
      </c>
      <c r="I61" s="61"/>
      <c r="J61" s="61"/>
      <c r="K61" s="46">
        <f t="shared" si="1"/>
        <v>0</v>
      </c>
      <c r="L61" s="47">
        <f t="shared" si="2"/>
        <v>0</v>
      </c>
      <c r="M61" s="45">
        <f t="shared" si="3"/>
        <v>0</v>
      </c>
      <c r="N61" s="45">
        <f t="shared" si="4"/>
        <v>0</v>
      </c>
      <c r="O61" s="45">
        <f t="shared" si="5"/>
        <v>0</v>
      </c>
      <c r="P61" s="46">
        <f t="shared" si="6"/>
        <v>0</v>
      </c>
    </row>
    <row r="62" spans="1:16" ht="13.2" x14ac:dyDescent="0.2">
      <c r="A62" s="108">
        <v>19</v>
      </c>
      <c r="B62" s="170" t="s">
        <v>239</v>
      </c>
      <c r="C62" s="95" t="s">
        <v>240</v>
      </c>
      <c r="D62" s="198" t="s">
        <v>92</v>
      </c>
      <c r="E62" s="106">
        <v>71.760000000000005</v>
      </c>
      <c r="F62" s="63"/>
      <c r="G62" s="61"/>
      <c r="H62" s="45">
        <f t="shared" si="0"/>
        <v>0</v>
      </c>
      <c r="I62" s="61"/>
      <c r="J62" s="61"/>
      <c r="K62" s="46">
        <f t="shared" si="1"/>
        <v>0</v>
      </c>
      <c r="L62" s="47">
        <f t="shared" si="2"/>
        <v>0</v>
      </c>
      <c r="M62" s="45">
        <f t="shared" si="3"/>
        <v>0</v>
      </c>
      <c r="N62" s="45">
        <f t="shared" si="4"/>
        <v>0</v>
      </c>
      <c r="O62" s="45">
        <f t="shared" si="5"/>
        <v>0</v>
      </c>
      <c r="P62" s="46">
        <f t="shared" si="6"/>
        <v>0</v>
      </c>
    </row>
    <row r="63" spans="1:16" ht="26.4" x14ac:dyDescent="0.2">
      <c r="A63" s="108">
        <v>20</v>
      </c>
      <c r="B63" s="170" t="s">
        <v>239</v>
      </c>
      <c r="C63" s="95" t="s">
        <v>241</v>
      </c>
      <c r="D63" s="169" t="s">
        <v>160</v>
      </c>
      <c r="E63" s="106">
        <v>71.760000000000005</v>
      </c>
      <c r="F63" s="63"/>
      <c r="G63" s="61"/>
      <c r="H63" s="45">
        <f t="shared" si="0"/>
        <v>0</v>
      </c>
      <c r="I63" s="61"/>
      <c r="J63" s="61"/>
      <c r="K63" s="46">
        <f t="shared" si="1"/>
        <v>0</v>
      </c>
      <c r="L63" s="47">
        <f t="shared" si="2"/>
        <v>0</v>
      </c>
      <c r="M63" s="45">
        <f t="shared" si="3"/>
        <v>0</v>
      </c>
      <c r="N63" s="45">
        <f t="shared" si="4"/>
        <v>0</v>
      </c>
      <c r="O63" s="45">
        <f t="shared" si="5"/>
        <v>0</v>
      </c>
      <c r="P63" s="46">
        <f t="shared" si="6"/>
        <v>0</v>
      </c>
    </row>
    <row r="64" spans="1:16" ht="16.2" thickBot="1" x14ac:dyDescent="0.25">
      <c r="A64" s="108">
        <v>21</v>
      </c>
      <c r="B64" s="170" t="s">
        <v>239</v>
      </c>
      <c r="C64" s="95" t="s">
        <v>242</v>
      </c>
      <c r="D64" s="169" t="s">
        <v>160</v>
      </c>
      <c r="E64" s="106">
        <f>E63</f>
        <v>71.760000000000005</v>
      </c>
      <c r="F64" s="63"/>
      <c r="G64" s="61"/>
      <c r="H64" s="45">
        <f t="shared" si="0"/>
        <v>0</v>
      </c>
      <c r="I64" s="61"/>
      <c r="J64" s="61"/>
      <c r="K64" s="46">
        <f t="shared" si="1"/>
        <v>0</v>
      </c>
      <c r="L64" s="47">
        <f t="shared" si="2"/>
        <v>0</v>
      </c>
      <c r="M64" s="45">
        <f t="shared" si="3"/>
        <v>0</v>
      </c>
      <c r="N64" s="45">
        <f t="shared" si="4"/>
        <v>0</v>
      </c>
      <c r="O64" s="45">
        <f t="shared" si="5"/>
        <v>0</v>
      </c>
      <c r="P64" s="46">
        <f t="shared" si="6"/>
        <v>0</v>
      </c>
    </row>
    <row r="65" spans="1:16" ht="10.8" thickBot="1" x14ac:dyDescent="0.25">
      <c r="A65" s="280" t="s">
        <v>243</v>
      </c>
      <c r="B65" s="281"/>
      <c r="C65" s="281"/>
      <c r="D65" s="281"/>
      <c r="E65" s="281"/>
      <c r="F65" s="281"/>
      <c r="G65" s="281"/>
      <c r="H65" s="281"/>
      <c r="I65" s="281"/>
      <c r="J65" s="281"/>
      <c r="K65" s="282"/>
      <c r="L65" s="64">
        <f>SUM(L14:L64)</f>
        <v>0</v>
      </c>
      <c r="M65" s="65">
        <f>SUM(M14:M64)</f>
        <v>0</v>
      </c>
      <c r="N65" s="65">
        <f>SUM(N14:N64)</f>
        <v>0</v>
      </c>
      <c r="O65" s="65">
        <f>SUM(O14:O64)</f>
        <v>0</v>
      </c>
      <c r="P65" s="66">
        <f>SUM(P14:P64)</f>
        <v>0</v>
      </c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" t="s">
        <v>14</v>
      </c>
      <c r="B68" s="17"/>
      <c r="C68" s="279">
        <f>'3a'!C84:H84</f>
        <v>0</v>
      </c>
      <c r="D68" s="279"/>
      <c r="E68" s="279"/>
      <c r="F68" s="279"/>
      <c r="G68" s="279"/>
      <c r="H68" s="279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7"/>
      <c r="B69" s="17"/>
      <c r="C69" s="231" t="s">
        <v>15</v>
      </c>
      <c r="D69" s="231"/>
      <c r="E69" s="231"/>
      <c r="F69" s="231"/>
      <c r="G69" s="231"/>
      <c r="H69" s="231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83" t="str">
        <f>'Kops a'!A35</f>
        <v>Tāme sastādīta</v>
      </c>
      <c r="B71" s="84"/>
      <c r="C71" s="84"/>
      <c r="D71" s="8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" t="s">
        <v>37</v>
      </c>
      <c r="B73" s="17"/>
      <c r="C73" s="279">
        <f>'3a'!C89:H89</f>
        <v>0</v>
      </c>
      <c r="D73" s="279"/>
      <c r="E73" s="279"/>
      <c r="F73" s="279"/>
      <c r="G73" s="279"/>
      <c r="H73" s="279"/>
      <c r="I73" s="17"/>
      <c r="J73" s="17"/>
      <c r="K73" s="17"/>
      <c r="L73" s="17"/>
      <c r="M73" s="17"/>
      <c r="N73" s="17"/>
      <c r="O73" s="17"/>
      <c r="P73" s="17"/>
    </row>
    <row r="74" spans="1:16" x14ac:dyDescent="0.2">
      <c r="A74" s="17"/>
      <c r="B74" s="17"/>
      <c r="C74" s="231" t="s">
        <v>15</v>
      </c>
      <c r="D74" s="231"/>
      <c r="E74" s="231"/>
      <c r="F74" s="231"/>
      <c r="G74" s="231"/>
      <c r="H74" s="231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83" t="s">
        <v>54</v>
      </c>
      <c r="B76" s="84"/>
      <c r="C76" s="88">
        <f>'3a'!C92</f>
        <v>0</v>
      </c>
      <c r="D76" s="48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16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4:H74"/>
    <mergeCell ref="C4:I4"/>
    <mergeCell ref="F12:K12"/>
    <mergeCell ref="A9:F9"/>
    <mergeCell ref="J9:M9"/>
    <mergeCell ref="D8:L8"/>
    <mergeCell ref="A65:K65"/>
    <mergeCell ref="C68:H68"/>
    <mergeCell ref="C69:H69"/>
    <mergeCell ref="C73:H73"/>
  </mergeCells>
  <conditionalFormatting sqref="A15:B64 I15:J64 D15:G64">
    <cfRule type="cellIs" dxfId="99" priority="26" operator="equal">
      <formula>0</formula>
    </cfRule>
  </conditionalFormatting>
  <conditionalFormatting sqref="N9:O9">
    <cfRule type="cellIs" dxfId="98" priority="25" operator="equal">
      <formula>0</formula>
    </cfRule>
  </conditionalFormatting>
  <conditionalFormatting sqref="A9:F9">
    <cfRule type="containsText" dxfId="9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6" priority="22" operator="equal">
      <formula>0</formula>
    </cfRule>
  </conditionalFormatting>
  <conditionalFormatting sqref="O10">
    <cfRule type="cellIs" dxfId="95" priority="21" operator="equal">
      <formula>"20__. gada __. _________"</formula>
    </cfRule>
  </conditionalFormatting>
  <conditionalFormatting sqref="A65:K65">
    <cfRule type="containsText" dxfId="94" priority="20" operator="containsText" text="Tiešās izmaksas kopā, t. sk. darba devēja sociālais nodoklis __.__% ">
      <formula>NOT(ISERROR(SEARCH("Tiešās izmaksas kopā, t. sk. darba devēja sociālais nodoklis __.__% ",A65)))</formula>
    </cfRule>
  </conditionalFormatting>
  <conditionalFormatting sqref="H14:H64 K14:P64 L65:P65">
    <cfRule type="cellIs" dxfId="93" priority="15" operator="equal">
      <formula>0</formula>
    </cfRule>
  </conditionalFormatting>
  <conditionalFormatting sqref="C4:I4">
    <cfRule type="cellIs" dxfId="92" priority="14" operator="equal">
      <formula>0</formula>
    </cfRule>
  </conditionalFormatting>
  <conditionalFormatting sqref="C15:C64">
    <cfRule type="cellIs" dxfId="91" priority="13" operator="equal">
      <formula>0</formula>
    </cfRule>
  </conditionalFormatting>
  <conditionalFormatting sqref="D5:L8">
    <cfRule type="cellIs" dxfId="90" priority="11" operator="equal">
      <formula>0</formula>
    </cfRule>
  </conditionalFormatting>
  <conditionalFormatting sqref="A14:B14 D14:G14">
    <cfRule type="cellIs" dxfId="89" priority="10" operator="equal">
      <formula>0</formula>
    </cfRule>
  </conditionalFormatting>
  <conditionalFormatting sqref="C14">
    <cfRule type="cellIs" dxfId="88" priority="9" operator="equal">
      <formula>0</formula>
    </cfRule>
  </conditionalFormatting>
  <conditionalFormatting sqref="I14:J14">
    <cfRule type="cellIs" dxfId="87" priority="8" operator="equal">
      <formula>0</formula>
    </cfRule>
  </conditionalFormatting>
  <conditionalFormatting sqref="P10">
    <cfRule type="cellIs" dxfId="86" priority="7" operator="equal">
      <formula>"20__. gada __. _________"</formula>
    </cfRule>
  </conditionalFormatting>
  <conditionalFormatting sqref="C73:H73">
    <cfRule type="cellIs" dxfId="85" priority="4" operator="equal">
      <formula>0</formula>
    </cfRule>
  </conditionalFormatting>
  <conditionalFormatting sqref="C68:H68">
    <cfRule type="cellIs" dxfId="84" priority="3" operator="equal">
      <formula>0</formula>
    </cfRule>
  </conditionalFormatting>
  <conditionalFormatting sqref="C73:H73 C76 C68:H68">
    <cfRule type="cellIs" dxfId="83" priority="2" operator="equal">
      <formula>0</formula>
    </cfRule>
  </conditionalFormatting>
  <conditionalFormatting sqref="D1">
    <cfRule type="cellIs" dxfId="82" priority="1" operator="equal">
      <formula>0</formula>
    </cfRule>
  </conditionalFormatting>
  <pageMargins left="0.7" right="0.7" top="0.75" bottom="0.75" header="0.3" footer="0.3"/>
  <pageSetup paperSize="9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______________",A71)))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_________________________________",A76)))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pageSetUpPr fitToPage="1"/>
  </sheetPr>
  <dimension ref="A1:P52"/>
  <sheetViews>
    <sheetView workbookViewId="0">
      <selection activeCell="A9" sqref="A9:F9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8" width="6.6640625" style="1" customWidth="1"/>
    <col min="9" max="10" width="4.6640625" style="1" customWidth="1"/>
    <col min="11" max="11" width="4.33203125" style="1" customWidth="1"/>
    <col min="12" max="13" width="4.44140625" style="1" customWidth="1"/>
    <col min="14" max="14" width="5" style="1" customWidth="1"/>
    <col min="15" max="15" width="4.44140625" style="1" customWidth="1"/>
    <col min="16" max="16" width="4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v>5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244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202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P40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A46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3.2" x14ac:dyDescent="0.2">
      <c r="A14" s="96"/>
      <c r="B14" s="199"/>
      <c r="C14" s="92" t="s">
        <v>244</v>
      </c>
      <c r="D14" s="200"/>
      <c r="E14" s="201"/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6.4" x14ac:dyDescent="0.2">
      <c r="A15" s="184">
        <v>1</v>
      </c>
      <c r="B15" s="202" t="s">
        <v>117</v>
      </c>
      <c r="C15" s="98" t="s">
        <v>245</v>
      </c>
      <c r="D15" s="168" t="s">
        <v>160</v>
      </c>
      <c r="E15" s="102">
        <v>338</v>
      </c>
      <c r="F15" s="63"/>
      <c r="G15" s="61"/>
      <c r="H15" s="45">
        <f t="shared" ref="H15:H39" si="0">ROUND(F15*G15,2)</f>
        <v>0</v>
      </c>
      <c r="I15" s="61"/>
      <c r="J15" s="61"/>
      <c r="K15" s="46">
        <f t="shared" ref="K15:K39" si="1">SUM(H15:J15)</f>
        <v>0</v>
      </c>
      <c r="L15" s="47">
        <f t="shared" ref="L15:L39" si="2">ROUND(E15*F15,2)</f>
        <v>0</v>
      </c>
      <c r="M15" s="45">
        <f t="shared" ref="M15:M39" si="3">ROUND(H15*E15,2)</f>
        <v>0</v>
      </c>
      <c r="N15" s="45">
        <f t="shared" ref="N15:N39" si="4">ROUND(I15*E15,2)</f>
        <v>0</v>
      </c>
      <c r="O15" s="45">
        <f t="shared" ref="O15:O39" si="5">ROUND(J15*E15,2)</f>
        <v>0</v>
      </c>
      <c r="P15" s="46">
        <f t="shared" ref="P15:P39" si="6">SUM(M15:O15)</f>
        <v>0</v>
      </c>
    </row>
    <row r="16" spans="1:16" ht="13.2" x14ac:dyDescent="0.2">
      <c r="A16" s="184"/>
      <c r="B16" s="202"/>
      <c r="C16" s="98" t="s">
        <v>246</v>
      </c>
      <c r="D16" s="168" t="s">
        <v>76</v>
      </c>
      <c r="E16" s="203">
        <v>8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13.2" x14ac:dyDescent="0.2">
      <c r="A17" s="184"/>
      <c r="B17" s="202"/>
      <c r="C17" s="98" t="s">
        <v>247</v>
      </c>
      <c r="D17" s="168" t="s">
        <v>76</v>
      </c>
      <c r="E17" s="203">
        <v>1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3.2" x14ac:dyDescent="0.2">
      <c r="A18" s="184"/>
      <c r="B18" s="202"/>
      <c r="C18" s="98" t="s">
        <v>248</v>
      </c>
      <c r="D18" s="168" t="s">
        <v>76</v>
      </c>
      <c r="E18" s="203">
        <v>13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3.2" x14ac:dyDescent="0.2">
      <c r="A19" s="184"/>
      <c r="B19" s="202"/>
      <c r="C19" s="98" t="s">
        <v>249</v>
      </c>
      <c r="D19" s="168" t="s">
        <v>76</v>
      </c>
      <c r="E19" s="203">
        <v>8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3.2" x14ac:dyDescent="0.2">
      <c r="A20" s="184"/>
      <c r="B20" s="202"/>
      <c r="C20" s="98" t="s">
        <v>250</v>
      </c>
      <c r="D20" s="168" t="s">
        <v>76</v>
      </c>
      <c r="E20" s="203">
        <v>2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3.2" x14ac:dyDescent="0.2">
      <c r="A21" s="184"/>
      <c r="B21" s="202"/>
      <c r="C21" s="98" t="s">
        <v>251</v>
      </c>
      <c r="D21" s="168" t="s">
        <v>76</v>
      </c>
      <c r="E21" s="203">
        <v>14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3.2" x14ac:dyDescent="0.2">
      <c r="A22" s="184"/>
      <c r="B22" s="202"/>
      <c r="C22" s="98" t="s">
        <v>252</v>
      </c>
      <c r="D22" s="168" t="s">
        <v>76</v>
      </c>
      <c r="E22" s="203">
        <v>15</v>
      </c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13.2" x14ac:dyDescent="0.2">
      <c r="A23" s="184"/>
      <c r="B23" s="202"/>
      <c r="C23" s="98" t="s">
        <v>253</v>
      </c>
      <c r="D23" s="168" t="s">
        <v>76</v>
      </c>
      <c r="E23" s="203">
        <v>3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3.2" x14ac:dyDescent="0.2">
      <c r="A24" s="184"/>
      <c r="B24" s="202"/>
      <c r="C24" s="98" t="s">
        <v>254</v>
      </c>
      <c r="D24" s="168" t="s">
        <v>76</v>
      </c>
      <c r="E24" s="203">
        <v>1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3.2" x14ac:dyDescent="0.2">
      <c r="A25" s="184"/>
      <c r="B25" s="202"/>
      <c r="C25" s="98" t="s">
        <v>255</v>
      </c>
      <c r="D25" s="168" t="s">
        <v>63</v>
      </c>
      <c r="E25" s="102">
        <v>255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5.6" x14ac:dyDescent="0.2">
      <c r="A26" s="204">
        <v>2</v>
      </c>
      <c r="B26" s="170" t="s">
        <v>256</v>
      </c>
      <c r="C26" s="95" t="s">
        <v>257</v>
      </c>
      <c r="D26" s="168" t="s">
        <v>160</v>
      </c>
      <c r="E26" s="106">
        <v>8.64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26.4" x14ac:dyDescent="0.2">
      <c r="A27" s="204"/>
      <c r="B27" s="170"/>
      <c r="C27" s="95" t="s">
        <v>258</v>
      </c>
      <c r="D27" s="168" t="s">
        <v>109</v>
      </c>
      <c r="E27" s="106">
        <v>1.3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3.2" x14ac:dyDescent="0.2">
      <c r="A28" s="204"/>
      <c r="B28" s="170"/>
      <c r="C28" s="95" t="s">
        <v>259</v>
      </c>
      <c r="D28" s="168" t="s">
        <v>109</v>
      </c>
      <c r="E28" s="106">
        <v>0.5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3.2" x14ac:dyDescent="0.2">
      <c r="A29" s="184">
        <v>3</v>
      </c>
      <c r="B29" s="202" t="s">
        <v>117</v>
      </c>
      <c r="C29" s="98" t="s">
        <v>260</v>
      </c>
      <c r="D29" s="168" t="s">
        <v>76</v>
      </c>
      <c r="E29" s="207">
        <f>293-44-16-8</f>
        <v>225</v>
      </c>
      <c r="F29" s="63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3.2" x14ac:dyDescent="0.2">
      <c r="A30" s="184">
        <v>4</v>
      </c>
      <c r="B30" s="97" t="s">
        <v>261</v>
      </c>
      <c r="C30" s="195" t="s">
        <v>262</v>
      </c>
      <c r="D30" s="179" t="s">
        <v>66</v>
      </c>
      <c r="E30" s="206">
        <v>61</v>
      </c>
      <c r="F30" s="63"/>
      <c r="G30" s="61"/>
      <c r="H30" s="45">
        <f t="shared" si="0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26.4" x14ac:dyDescent="0.2">
      <c r="A31" s="184">
        <v>5</v>
      </c>
      <c r="B31" s="202" t="s">
        <v>117</v>
      </c>
      <c r="C31" s="98" t="s">
        <v>263</v>
      </c>
      <c r="D31" s="168" t="s">
        <v>264</v>
      </c>
      <c r="E31" s="102">
        <v>22.64</v>
      </c>
      <c r="F31" s="63"/>
      <c r="G31" s="61"/>
      <c r="H31" s="45">
        <f t="shared" si="0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13.2" x14ac:dyDescent="0.2">
      <c r="A32" s="184"/>
      <c r="B32" s="202"/>
      <c r="C32" s="98" t="s">
        <v>265</v>
      </c>
      <c r="D32" s="168" t="s">
        <v>76</v>
      </c>
      <c r="E32" s="203">
        <v>4</v>
      </c>
      <c r="F32" s="63"/>
      <c r="G32" s="61"/>
      <c r="H32" s="45">
        <f t="shared" si="0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13.2" x14ac:dyDescent="0.2">
      <c r="A33" s="184"/>
      <c r="B33" s="202"/>
      <c r="C33" s="98" t="s">
        <v>266</v>
      </c>
      <c r="D33" s="168" t="s">
        <v>76</v>
      </c>
      <c r="E33" s="203">
        <v>4</v>
      </c>
      <c r="F33" s="63"/>
      <c r="G33" s="61"/>
      <c r="H33" s="45">
        <f t="shared" si="0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13.2" x14ac:dyDescent="0.2">
      <c r="A34" s="204"/>
      <c r="B34" s="202"/>
      <c r="C34" s="98" t="s">
        <v>267</v>
      </c>
      <c r="D34" s="169" t="s">
        <v>76</v>
      </c>
      <c r="E34" s="203">
        <v>4</v>
      </c>
      <c r="F34" s="63"/>
      <c r="G34" s="61"/>
      <c r="H34" s="45">
        <f t="shared" si="0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15.6" x14ac:dyDescent="0.2">
      <c r="A35" s="204">
        <v>6</v>
      </c>
      <c r="B35" s="170" t="s">
        <v>256</v>
      </c>
      <c r="C35" s="95" t="s">
        <v>268</v>
      </c>
      <c r="D35" s="168" t="s">
        <v>160</v>
      </c>
      <c r="E35" s="106">
        <v>8.4</v>
      </c>
      <c r="F35" s="63"/>
      <c r="G35" s="61"/>
      <c r="H35" s="45">
        <f t="shared" si="0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13.2" x14ac:dyDescent="0.2">
      <c r="A36" s="204"/>
      <c r="B36" s="170"/>
      <c r="C36" s="95" t="s">
        <v>269</v>
      </c>
      <c r="D36" s="168" t="s">
        <v>109</v>
      </c>
      <c r="E36" s="106">
        <v>1.5</v>
      </c>
      <c r="F36" s="63"/>
      <c r="G36" s="61"/>
      <c r="H36" s="45">
        <f t="shared" si="0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13.2" x14ac:dyDescent="0.2">
      <c r="A37" s="204"/>
      <c r="B37" s="170"/>
      <c r="C37" s="95" t="s">
        <v>270</v>
      </c>
      <c r="D37" s="168" t="s">
        <v>63</v>
      </c>
      <c r="E37" s="106">
        <v>15</v>
      </c>
      <c r="F37" s="63"/>
      <c r="G37" s="61"/>
      <c r="H37" s="45">
        <f t="shared" si="0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13.2" x14ac:dyDescent="0.2">
      <c r="A38" s="204"/>
      <c r="B38" s="170"/>
      <c r="C38" s="95" t="s">
        <v>271</v>
      </c>
      <c r="D38" s="168" t="s">
        <v>272</v>
      </c>
      <c r="E38" s="108">
        <v>4</v>
      </c>
      <c r="F38" s="63"/>
      <c r="G38" s="61"/>
      <c r="H38" s="45">
        <f t="shared" si="0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13.8" thickBot="1" x14ac:dyDescent="0.25">
      <c r="A39" s="204">
        <v>7</v>
      </c>
      <c r="B39" s="202" t="s">
        <v>122</v>
      </c>
      <c r="C39" s="98" t="s">
        <v>273</v>
      </c>
      <c r="D39" s="169" t="s">
        <v>76</v>
      </c>
      <c r="E39" s="203">
        <v>4</v>
      </c>
      <c r="F39" s="63"/>
      <c r="G39" s="61"/>
      <c r="H39" s="45">
        <f t="shared" si="0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10.8" thickBot="1" x14ac:dyDescent="0.25">
      <c r="A40" s="280" t="s">
        <v>243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2"/>
      <c r="L40" s="64">
        <f>SUM(L14:L39)</f>
        <v>0</v>
      </c>
      <c r="M40" s="65">
        <f>SUM(M14:M39)</f>
        <v>0</v>
      </c>
      <c r="N40" s="65">
        <f>SUM(N14:N39)</f>
        <v>0</v>
      </c>
      <c r="O40" s="65">
        <f>SUM(O14:O39)</f>
        <v>0</v>
      </c>
      <c r="P40" s="66">
        <f>SUM(P14:P39)</f>
        <v>0</v>
      </c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" t="s">
        <v>14</v>
      </c>
      <c r="B43" s="17"/>
      <c r="C43" s="279">
        <f>'4a'!C68:H68</f>
        <v>0</v>
      </c>
      <c r="D43" s="279"/>
      <c r="E43" s="279"/>
      <c r="F43" s="279"/>
      <c r="G43" s="279"/>
      <c r="H43" s="279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231" t="s">
        <v>15</v>
      </c>
      <c r="D44" s="231"/>
      <c r="E44" s="231"/>
      <c r="F44" s="231"/>
      <c r="G44" s="231"/>
      <c r="H44" s="231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83" t="str">
        <f>'Kops a'!A35</f>
        <v>Tāme sastādīta</v>
      </c>
      <c r="B46" s="84"/>
      <c r="C46" s="84"/>
      <c r="D46" s="8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" t="s">
        <v>37</v>
      </c>
      <c r="B48" s="17"/>
      <c r="C48" s="279">
        <f>'4a'!C73:H73</f>
        <v>0</v>
      </c>
      <c r="D48" s="279"/>
      <c r="E48" s="279"/>
      <c r="F48" s="279"/>
      <c r="G48" s="279"/>
      <c r="H48" s="279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231" t="s">
        <v>15</v>
      </c>
      <c r="D49" s="231"/>
      <c r="E49" s="231"/>
      <c r="F49" s="231"/>
      <c r="G49" s="231"/>
      <c r="H49" s="231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83" t="s">
        <v>54</v>
      </c>
      <c r="B51" s="84"/>
      <c r="C51" s="88">
        <f>'4a'!C76</f>
        <v>0</v>
      </c>
      <c r="D51" s="48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9:H49"/>
    <mergeCell ref="C4:I4"/>
    <mergeCell ref="F12:K12"/>
    <mergeCell ref="A9:F9"/>
    <mergeCell ref="J9:M9"/>
    <mergeCell ref="D8:L8"/>
    <mergeCell ref="A40:K40"/>
    <mergeCell ref="C43:H43"/>
    <mergeCell ref="C44:H44"/>
    <mergeCell ref="C48:H48"/>
  </mergeCells>
  <conditionalFormatting sqref="A15:G39 I15:J39">
    <cfRule type="cellIs" dxfId="79" priority="27" operator="equal">
      <formula>0</formula>
    </cfRule>
  </conditionalFormatting>
  <conditionalFormatting sqref="N9:O9 H14:H39 K14:P39">
    <cfRule type="cellIs" dxfId="78" priority="26" operator="equal">
      <formula>0</formula>
    </cfRule>
  </conditionalFormatting>
  <conditionalFormatting sqref="C2:I2">
    <cfRule type="cellIs" dxfId="76" priority="23" operator="equal">
      <formula>0</formula>
    </cfRule>
  </conditionalFormatting>
  <conditionalFormatting sqref="O10">
    <cfRule type="cellIs" dxfId="75" priority="22" operator="equal">
      <formula>"20__. gada __. _________"</formula>
    </cfRule>
  </conditionalFormatting>
  <conditionalFormatting sqref="A40:K40">
    <cfRule type="containsText" dxfId="74" priority="21" operator="containsText" text="Tiešās izmaksas kopā, t. sk. darba devēja sociālais nodoklis __.__% ">
      <formula>NOT(ISERROR(SEARCH("Tiešās izmaksas kopā, t. sk. darba devēja sociālais nodoklis __.__% ",A40)))</formula>
    </cfRule>
  </conditionalFormatting>
  <conditionalFormatting sqref="L40:P40">
    <cfRule type="cellIs" dxfId="73" priority="16" operator="equal">
      <formula>0</formula>
    </cfRule>
  </conditionalFormatting>
  <conditionalFormatting sqref="C4:I4">
    <cfRule type="cellIs" dxfId="72" priority="15" operator="equal">
      <formula>0</formula>
    </cfRule>
  </conditionalFormatting>
  <conditionalFormatting sqref="D5:L8">
    <cfRule type="cellIs" dxfId="71" priority="12" operator="equal">
      <formula>0</formula>
    </cfRule>
  </conditionalFormatting>
  <conditionalFormatting sqref="A14:B14 D14:G14">
    <cfRule type="cellIs" dxfId="70" priority="11" operator="equal">
      <formula>0</formula>
    </cfRule>
  </conditionalFormatting>
  <conditionalFormatting sqref="C14">
    <cfRule type="cellIs" dxfId="69" priority="10" operator="equal">
      <formula>0</formula>
    </cfRule>
  </conditionalFormatting>
  <conditionalFormatting sqref="I14:J14">
    <cfRule type="cellIs" dxfId="68" priority="9" operator="equal">
      <formula>0</formula>
    </cfRule>
  </conditionalFormatting>
  <conditionalFormatting sqref="P10">
    <cfRule type="cellIs" dxfId="67" priority="8" operator="equal">
      <formula>"20__. gada __. _________"</formula>
    </cfRule>
  </conditionalFormatting>
  <conditionalFormatting sqref="C48:H48">
    <cfRule type="cellIs" dxfId="66" priority="5" operator="equal">
      <formula>0</formula>
    </cfRule>
  </conditionalFormatting>
  <conditionalFormatting sqref="C43:H43">
    <cfRule type="cellIs" dxfId="65" priority="4" operator="equal">
      <formula>0</formula>
    </cfRule>
  </conditionalFormatting>
  <conditionalFormatting sqref="C48:H48 C51 C43:H43">
    <cfRule type="cellIs" dxfId="64" priority="3" operator="equal">
      <formula>0</formula>
    </cfRule>
  </conditionalFormatting>
  <conditionalFormatting sqref="D1">
    <cfRule type="cellIs" dxfId="63" priority="2" operator="equal">
      <formula>0</formula>
    </cfRule>
  </conditionalFormatting>
  <conditionalFormatting sqref="A9:F9">
    <cfRule type="containsText" dxfId="0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pageSetup paperSize="9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C7EA987-A541-4A14-8BBA-80430C8D8797}">
            <xm:f>NOT(ISERROR(SEARCH("Tāme sastādīta ____. gada ___. ______________",A46)))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A46</xm:sqref>
        </x14:conditionalFormatting>
        <x14:conditionalFormatting xmlns:xm="http://schemas.microsoft.com/office/excel/2006/main">
          <x14:cfRule type="containsText" priority="6" operator="containsText" id="{ACDA78AF-73B6-4D16-9157-A1B6B42F0CA3}">
            <xm:f>NOT(ISERROR(SEARCH("Sertifikāta Nr. _________________________________",A51)))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>
    <pageSetUpPr fitToPage="1"/>
  </sheetPr>
  <dimension ref="A1:P41"/>
  <sheetViews>
    <sheetView workbookViewId="0">
      <selection activeCell="D5" sqref="D5:L5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8" width="6.6640625" style="1" customWidth="1"/>
    <col min="9" max="10" width="4.77734375" style="1" customWidth="1"/>
    <col min="11" max="11" width="5.109375" style="1" customWidth="1"/>
    <col min="12" max="12" width="5.33203125" style="1" customWidth="1"/>
    <col min="13" max="13" width="4.77734375" style="1" customWidth="1"/>
    <col min="14" max="14" width="5.33203125" style="1" customWidth="1"/>
    <col min="15" max="15" width="5.109375" style="1" customWidth="1"/>
    <col min="16" max="16" width="5.44140625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a'!A20</f>
        <v>6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274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202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P29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A35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5.6" x14ac:dyDescent="0.2">
      <c r="A14" s="184">
        <v>1</v>
      </c>
      <c r="B14" s="170" t="s">
        <v>83</v>
      </c>
      <c r="C14" s="95" t="s">
        <v>275</v>
      </c>
      <c r="D14" s="168" t="s">
        <v>160</v>
      </c>
      <c r="E14" s="106">
        <v>682</v>
      </c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13.2" x14ac:dyDescent="0.2">
      <c r="A15" s="184"/>
      <c r="B15" s="170"/>
      <c r="C15" s="95" t="s">
        <v>276</v>
      </c>
      <c r="D15" s="168" t="s">
        <v>87</v>
      </c>
      <c r="E15" s="108">
        <f>E14*0.2</f>
        <v>136.4</v>
      </c>
      <c r="F15" s="63"/>
      <c r="G15" s="61"/>
      <c r="H15" s="45">
        <f t="shared" ref="H15:H28" si="0">ROUND(F15*G15,2)</f>
        <v>0</v>
      </c>
      <c r="I15" s="61"/>
      <c r="J15" s="61"/>
      <c r="K15" s="46">
        <f t="shared" ref="K15:K28" si="1">SUM(H15:J15)</f>
        <v>0</v>
      </c>
      <c r="L15" s="47">
        <f t="shared" ref="L15:L28" si="2">ROUND(E15*F15,2)</f>
        <v>0</v>
      </c>
      <c r="M15" s="45">
        <f t="shared" ref="M15:M28" si="3">ROUND(H15*E15,2)</f>
        <v>0</v>
      </c>
      <c r="N15" s="45">
        <f t="shared" ref="N15:N28" si="4">ROUND(I15*E15,2)</f>
        <v>0</v>
      </c>
      <c r="O15" s="45">
        <f t="shared" ref="O15:O28" si="5">ROUND(J15*E15,2)</f>
        <v>0</v>
      </c>
      <c r="P15" s="46">
        <f t="shared" ref="P15:P28" si="6">SUM(M15:O15)</f>
        <v>0</v>
      </c>
    </row>
    <row r="16" spans="1:16" ht="15.6" x14ac:dyDescent="0.2">
      <c r="A16" s="184">
        <v>2</v>
      </c>
      <c r="B16" s="170" t="s">
        <v>113</v>
      </c>
      <c r="C16" s="95" t="s">
        <v>277</v>
      </c>
      <c r="D16" s="168" t="s">
        <v>160</v>
      </c>
      <c r="E16" s="106">
        <v>682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6.4" x14ac:dyDescent="0.2">
      <c r="A17" s="168"/>
      <c r="B17" s="170"/>
      <c r="C17" s="187" t="s">
        <v>278</v>
      </c>
      <c r="D17" s="168" t="s">
        <v>160</v>
      </c>
      <c r="E17" s="106">
        <f>E16*1.05</f>
        <v>716.1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3.2" x14ac:dyDescent="0.2">
      <c r="A18" s="168"/>
      <c r="B18" s="170"/>
      <c r="C18" s="107" t="s">
        <v>171</v>
      </c>
      <c r="D18" s="168" t="s">
        <v>87</v>
      </c>
      <c r="E18" s="108">
        <f>E16*6</f>
        <v>4092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3.2" x14ac:dyDescent="0.2">
      <c r="A19" s="168"/>
      <c r="B19" s="170"/>
      <c r="C19" s="95" t="s">
        <v>279</v>
      </c>
      <c r="D19" s="168" t="s">
        <v>173</v>
      </c>
      <c r="E19" s="108">
        <f>E16*5</f>
        <v>3410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5.6" x14ac:dyDescent="0.2">
      <c r="A20" s="184">
        <v>3</v>
      </c>
      <c r="B20" s="170" t="s">
        <v>261</v>
      </c>
      <c r="C20" s="95" t="s">
        <v>280</v>
      </c>
      <c r="D20" s="168" t="s">
        <v>160</v>
      </c>
      <c r="E20" s="208">
        <f>SUM(E16)</f>
        <v>682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5.6" x14ac:dyDescent="0.2">
      <c r="A21" s="168"/>
      <c r="B21" s="170"/>
      <c r="C21" s="107" t="s">
        <v>177</v>
      </c>
      <c r="D21" s="168" t="s">
        <v>160</v>
      </c>
      <c r="E21" s="208">
        <f>E20*1.15</f>
        <v>784.3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3.2" x14ac:dyDescent="0.2">
      <c r="A22" s="168"/>
      <c r="B22" s="170"/>
      <c r="C22" s="107" t="s">
        <v>171</v>
      </c>
      <c r="D22" s="168" t="s">
        <v>87</v>
      </c>
      <c r="E22" s="184">
        <f>E20*6</f>
        <v>4092</v>
      </c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15.6" x14ac:dyDescent="0.2">
      <c r="A23" s="184">
        <v>4</v>
      </c>
      <c r="B23" s="170" t="s">
        <v>261</v>
      </c>
      <c r="C23" s="95" t="s">
        <v>281</v>
      </c>
      <c r="D23" s="168" t="s">
        <v>160</v>
      </c>
      <c r="E23" s="208">
        <f>E20</f>
        <v>682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3.2" x14ac:dyDescent="0.2">
      <c r="A24" s="168"/>
      <c r="B24" s="170"/>
      <c r="C24" s="107" t="s">
        <v>180</v>
      </c>
      <c r="D24" s="168" t="s">
        <v>87</v>
      </c>
      <c r="E24" s="184">
        <v>362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3.2" x14ac:dyDescent="0.2">
      <c r="A25" s="168"/>
      <c r="B25" s="170"/>
      <c r="C25" s="107" t="s">
        <v>181</v>
      </c>
      <c r="D25" s="168" t="s">
        <v>87</v>
      </c>
      <c r="E25" s="184">
        <f>E23*1.8*2.5</f>
        <v>3069.0000000000005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5.6" x14ac:dyDescent="0.2">
      <c r="A26" s="168">
        <f>A23+1</f>
        <v>5</v>
      </c>
      <c r="B26" s="170" t="s">
        <v>83</v>
      </c>
      <c r="C26" s="95" t="s">
        <v>282</v>
      </c>
      <c r="D26" s="168" t="s">
        <v>160</v>
      </c>
      <c r="E26" s="208">
        <f>SUM(E14)</f>
        <v>682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3.2" x14ac:dyDescent="0.2">
      <c r="A27" s="168"/>
      <c r="B27" s="170"/>
      <c r="C27" s="107" t="s">
        <v>86</v>
      </c>
      <c r="D27" s="168" t="s">
        <v>87</v>
      </c>
      <c r="E27" s="184">
        <f>E26*0.18</f>
        <v>122.75999999999999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3.8" thickBot="1" x14ac:dyDescent="0.25">
      <c r="A28" s="169"/>
      <c r="B28" s="176"/>
      <c r="C28" s="107" t="s">
        <v>88</v>
      </c>
      <c r="D28" s="169" t="s">
        <v>87</v>
      </c>
      <c r="E28" s="204">
        <f>E26*0.3</f>
        <v>204.6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0.8" thickBot="1" x14ac:dyDescent="0.25">
      <c r="A29" s="280" t="s">
        <v>243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2"/>
      <c r="L29" s="64">
        <f>SUM(L14:L28)</f>
        <v>0</v>
      </c>
      <c r="M29" s="65">
        <f>SUM(M14:M28)</f>
        <v>0</v>
      </c>
      <c r="N29" s="65">
        <f>SUM(N14:N28)</f>
        <v>0</v>
      </c>
      <c r="O29" s="65">
        <f>SUM(O14:O28)</f>
        <v>0</v>
      </c>
      <c r="P29" s="66">
        <f>SUM(P14:P28)</f>
        <v>0</v>
      </c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" t="s">
        <v>14</v>
      </c>
      <c r="B32" s="17"/>
      <c r="C32" s="279">
        <f>'5a'!C43:H43</f>
        <v>0</v>
      </c>
      <c r="D32" s="279"/>
      <c r="E32" s="279"/>
      <c r="F32" s="279"/>
      <c r="G32" s="279"/>
      <c r="H32" s="279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231" t="s">
        <v>15</v>
      </c>
      <c r="D33" s="231"/>
      <c r="E33" s="231"/>
      <c r="F33" s="231"/>
      <c r="G33" s="231"/>
      <c r="H33" s="231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83" t="str">
        <f>'Kops a'!A35</f>
        <v>Tāme sastādīta</v>
      </c>
      <c r="B35" s="84"/>
      <c r="C35" s="84"/>
      <c r="D35" s="8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37</v>
      </c>
      <c r="B37" s="17"/>
      <c r="C37" s="279">
        <f>'5a'!C48:H48</f>
        <v>0</v>
      </c>
      <c r="D37" s="279"/>
      <c r="E37" s="279"/>
      <c r="F37" s="279"/>
      <c r="G37" s="279"/>
      <c r="H37" s="279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231" t="s">
        <v>15</v>
      </c>
      <c r="D38" s="231"/>
      <c r="E38" s="231"/>
      <c r="F38" s="231"/>
      <c r="G38" s="231"/>
      <c r="H38" s="231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83" t="s">
        <v>54</v>
      </c>
      <c r="B40" s="84"/>
      <c r="C40" s="88">
        <f>'5a'!C51</f>
        <v>0</v>
      </c>
      <c r="D40" s="4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8:H38"/>
    <mergeCell ref="C4:I4"/>
    <mergeCell ref="F12:K12"/>
    <mergeCell ref="A9:F9"/>
    <mergeCell ref="J9:M9"/>
    <mergeCell ref="D8:L8"/>
    <mergeCell ref="A29:K29"/>
    <mergeCell ref="C32:H32"/>
    <mergeCell ref="C33:H33"/>
    <mergeCell ref="C37:H37"/>
  </mergeCells>
  <conditionalFormatting sqref="A15:B28 D15:G28 I15:J28">
    <cfRule type="cellIs" dxfId="60" priority="27" operator="equal">
      <formula>0</formula>
    </cfRule>
  </conditionalFormatting>
  <conditionalFormatting sqref="N9:O9 H14:H28 K14:P28">
    <cfRule type="cellIs" dxfId="59" priority="26" operator="equal">
      <formula>0</formula>
    </cfRule>
  </conditionalFormatting>
  <conditionalFormatting sqref="A9:F9">
    <cfRule type="containsText" dxfId="58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7" priority="23" operator="equal">
      <formula>0</formula>
    </cfRule>
  </conditionalFormatting>
  <conditionalFormatting sqref="O10">
    <cfRule type="cellIs" dxfId="56" priority="22" operator="equal">
      <formula>"20__. gada __. _________"</formula>
    </cfRule>
  </conditionalFormatting>
  <conditionalFormatting sqref="A29:K29">
    <cfRule type="containsText" dxfId="55" priority="21" operator="containsText" text="Tiešās izmaksas kopā, t. sk. darba devēja sociālais nodoklis __.__% ">
      <formula>NOT(ISERROR(SEARCH("Tiešās izmaksas kopā, t. sk. darba devēja sociālais nodoklis __.__% ",A29)))</formula>
    </cfRule>
  </conditionalFormatting>
  <conditionalFormatting sqref="L29:P29">
    <cfRule type="cellIs" dxfId="54" priority="16" operator="equal">
      <formula>0</formula>
    </cfRule>
  </conditionalFormatting>
  <conditionalFormatting sqref="C4:I4">
    <cfRule type="cellIs" dxfId="53" priority="15" operator="equal">
      <formula>0</formula>
    </cfRule>
  </conditionalFormatting>
  <conditionalFormatting sqref="C15:C28">
    <cfRule type="cellIs" dxfId="52" priority="14" operator="equal">
      <formula>0</formula>
    </cfRule>
  </conditionalFormatting>
  <conditionalFormatting sqref="D5:L8">
    <cfRule type="cellIs" dxfId="51" priority="11" operator="equal">
      <formula>0</formula>
    </cfRule>
  </conditionalFormatting>
  <conditionalFormatting sqref="A14:B14 D14:G14">
    <cfRule type="cellIs" dxfId="50" priority="10" operator="equal">
      <formula>0</formula>
    </cfRule>
  </conditionalFormatting>
  <conditionalFormatting sqref="C14">
    <cfRule type="cellIs" dxfId="49" priority="9" operator="equal">
      <formula>0</formula>
    </cfRule>
  </conditionalFormatting>
  <conditionalFormatting sqref="I14:J14">
    <cfRule type="cellIs" dxfId="48" priority="8" operator="equal">
      <formula>0</formula>
    </cfRule>
  </conditionalFormatting>
  <conditionalFormatting sqref="P10">
    <cfRule type="cellIs" dxfId="47" priority="7" operator="equal">
      <formula>"20__. gada __. _________"</formula>
    </cfRule>
  </conditionalFormatting>
  <conditionalFormatting sqref="C37:H37">
    <cfRule type="cellIs" dxfId="46" priority="4" operator="equal">
      <formula>0</formula>
    </cfRule>
  </conditionalFormatting>
  <conditionalFormatting sqref="C32:H32">
    <cfRule type="cellIs" dxfId="45" priority="3" operator="equal">
      <formula>0</formula>
    </cfRule>
  </conditionalFormatting>
  <conditionalFormatting sqref="C37:H37 C40 C32:H32">
    <cfRule type="cellIs" dxfId="44" priority="2" operator="equal">
      <formula>0</formula>
    </cfRule>
  </conditionalFormatting>
  <conditionalFormatting sqref="D1">
    <cfRule type="cellIs" dxfId="43" priority="1" operator="equal">
      <formula>0</formula>
    </cfRule>
  </conditionalFormatting>
  <pageMargins left="0.7" right="0.7" top="0.75" bottom="0.75" header="0.3" footer="0.3"/>
  <pageSetup paperSize="9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64"/>
  <sheetViews>
    <sheetView topLeftCell="A40" workbookViewId="0">
      <selection activeCell="D5" sqref="D5:L5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9" width="6.6640625" style="1" customWidth="1"/>
    <col min="10" max="10" width="4.44140625" style="1" customWidth="1"/>
    <col min="11" max="11" width="4" style="1" customWidth="1"/>
    <col min="12" max="12" width="4.44140625" style="1" customWidth="1"/>
    <col min="13" max="13" width="5.33203125" style="1" customWidth="1"/>
    <col min="14" max="14" width="5" style="1" customWidth="1"/>
    <col min="15" max="15" width="4.77734375" style="1" customWidth="1"/>
    <col min="16" max="16" width="5.77734375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a'!A21</f>
        <v>7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283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284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P52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A58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3.2" x14ac:dyDescent="0.2">
      <c r="A14" s="209"/>
      <c r="B14" s="97"/>
      <c r="C14" s="210" t="s">
        <v>285</v>
      </c>
      <c r="D14" s="93"/>
      <c r="E14" s="205"/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13.2" x14ac:dyDescent="0.2">
      <c r="A15" s="209">
        <v>1</v>
      </c>
      <c r="B15" s="97" t="s">
        <v>122</v>
      </c>
      <c r="C15" s="98" t="s">
        <v>286</v>
      </c>
      <c r="D15" s="93" t="s">
        <v>63</v>
      </c>
      <c r="E15" s="102">
        <v>56.4</v>
      </c>
      <c r="F15" s="63"/>
      <c r="G15" s="61"/>
      <c r="H15" s="45">
        <f t="shared" ref="H15:H51" si="0">ROUND(F15*G15,2)</f>
        <v>0</v>
      </c>
      <c r="I15" s="61"/>
      <c r="J15" s="61"/>
      <c r="K15" s="46">
        <f t="shared" ref="K15:K51" si="1">SUM(H15:J15)</f>
        <v>0</v>
      </c>
      <c r="L15" s="47">
        <f t="shared" ref="L15:L51" si="2">ROUND(E15*F15,2)</f>
        <v>0</v>
      </c>
      <c r="M15" s="45">
        <f t="shared" ref="M15:M51" si="3">ROUND(H15*E15,2)</f>
        <v>0</v>
      </c>
      <c r="N15" s="45">
        <f t="shared" ref="N15:N51" si="4">ROUND(I15*E15,2)</f>
        <v>0</v>
      </c>
      <c r="O15" s="45">
        <f t="shared" ref="O15:O51" si="5">ROUND(J15*E15,2)</f>
        <v>0</v>
      </c>
      <c r="P15" s="46">
        <f t="shared" ref="P15:P51" si="6">SUM(M15:O15)</f>
        <v>0</v>
      </c>
    </row>
    <row r="16" spans="1:16" ht="26.4" x14ac:dyDescent="0.2">
      <c r="A16" s="209">
        <v>2</v>
      </c>
      <c r="B16" s="97" t="s">
        <v>287</v>
      </c>
      <c r="C16" s="98" t="s">
        <v>288</v>
      </c>
      <c r="D16" s="93" t="s">
        <v>76</v>
      </c>
      <c r="E16" s="102">
        <v>24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13.2" x14ac:dyDescent="0.2">
      <c r="A17" s="209"/>
      <c r="B17" s="97"/>
      <c r="C17" s="98" t="s">
        <v>289</v>
      </c>
      <c r="D17" s="93" t="s">
        <v>92</v>
      </c>
      <c r="E17" s="102">
        <v>100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3.2" x14ac:dyDescent="0.2">
      <c r="A18" s="209"/>
      <c r="B18" s="97"/>
      <c r="C18" s="98" t="s">
        <v>290</v>
      </c>
      <c r="D18" s="93" t="s">
        <v>76</v>
      </c>
      <c r="E18" s="102">
        <v>500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3.2" x14ac:dyDescent="0.2">
      <c r="A19" s="209"/>
      <c r="B19" s="97"/>
      <c r="C19" s="98" t="s">
        <v>108</v>
      </c>
      <c r="D19" s="93" t="s">
        <v>109</v>
      </c>
      <c r="E19" s="102">
        <v>2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3.2" x14ac:dyDescent="0.2">
      <c r="A20" s="209"/>
      <c r="B20" s="97"/>
      <c r="C20" s="98" t="s">
        <v>291</v>
      </c>
      <c r="D20" s="93" t="s">
        <v>92</v>
      </c>
      <c r="E20" s="102">
        <v>40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3.2" x14ac:dyDescent="0.2">
      <c r="A21" s="209"/>
      <c r="B21" s="97"/>
      <c r="C21" s="98" t="s">
        <v>292</v>
      </c>
      <c r="D21" s="93" t="s">
        <v>272</v>
      </c>
      <c r="E21" s="102">
        <v>240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3.2" x14ac:dyDescent="0.2">
      <c r="A22" s="209"/>
      <c r="B22" s="97"/>
      <c r="C22" s="210" t="s">
        <v>293</v>
      </c>
      <c r="D22" s="93"/>
      <c r="E22" s="102"/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39.6" x14ac:dyDescent="0.2">
      <c r="A23" s="125" t="s">
        <v>82</v>
      </c>
      <c r="B23" s="109" t="s">
        <v>261</v>
      </c>
      <c r="C23" s="211" t="s">
        <v>294</v>
      </c>
      <c r="D23" s="212" t="s">
        <v>92</v>
      </c>
      <c r="E23" s="213">
        <v>163.28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3.2" x14ac:dyDescent="0.2">
      <c r="A24" s="125"/>
      <c r="B24" s="109"/>
      <c r="C24" s="211" t="s">
        <v>295</v>
      </c>
      <c r="D24" s="212" t="s">
        <v>92</v>
      </c>
      <c r="E24" s="213">
        <f>SUM(E23)*1.1</f>
        <v>179.608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3.2" x14ac:dyDescent="0.2">
      <c r="A25" s="125"/>
      <c r="B25" s="109"/>
      <c r="C25" s="211" t="s">
        <v>296</v>
      </c>
      <c r="D25" s="212" t="s">
        <v>76</v>
      </c>
      <c r="E25" s="214">
        <v>20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39.6" x14ac:dyDescent="0.2">
      <c r="A26" s="125" t="s">
        <v>89</v>
      </c>
      <c r="B26" s="109" t="s">
        <v>261</v>
      </c>
      <c r="C26" s="211" t="s">
        <v>297</v>
      </c>
      <c r="D26" s="212" t="s">
        <v>92</v>
      </c>
      <c r="E26" s="216">
        <v>394.9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3.2" x14ac:dyDescent="0.2">
      <c r="A27" s="125"/>
      <c r="B27" s="109"/>
      <c r="C27" s="211" t="s">
        <v>295</v>
      </c>
      <c r="D27" s="212" t="s">
        <v>92</v>
      </c>
      <c r="E27" s="216">
        <f>SUM(E26)*1.1</f>
        <v>434.39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3.2" x14ac:dyDescent="0.2">
      <c r="A28" s="125"/>
      <c r="B28" s="109"/>
      <c r="C28" s="211" t="s">
        <v>296</v>
      </c>
      <c r="D28" s="212" t="s">
        <v>76</v>
      </c>
      <c r="E28" s="217">
        <v>40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39.6" x14ac:dyDescent="0.2">
      <c r="A29" s="125" t="s">
        <v>93</v>
      </c>
      <c r="B29" s="109" t="s">
        <v>261</v>
      </c>
      <c r="C29" s="195" t="s">
        <v>298</v>
      </c>
      <c r="D29" s="179" t="s">
        <v>92</v>
      </c>
      <c r="E29" s="218">
        <f>E26+16.7*4</f>
        <v>461.7</v>
      </c>
      <c r="F29" s="63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3.2" x14ac:dyDescent="0.2">
      <c r="A30" s="125"/>
      <c r="B30" s="109"/>
      <c r="C30" s="195" t="s">
        <v>299</v>
      </c>
      <c r="D30" s="179" t="s">
        <v>300</v>
      </c>
      <c r="E30" s="219">
        <f>SUM(E29)*0.3</f>
        <v>138.51</v>
      </c>
      <c r="F30" s="63"/>
      <c r="G30" s="61"/>
      <c r="H30" s="45">
        <f t="shared" si="0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13.2" x14ac:dyDescent="0.2">
      <c r="A31" s="125"/>
      <c r="B31" s="109"/>
      <c r="C31" s="195" t="s">
        <v>301</v>
      </c>
      <c r="D31" s="179" t="s">
        <v>87</v>
      </c>
      <c r="E31" s="219">
        <f>SUM(E29)*3</f>
        <v>1385.1</v>
      </c>
      <c r="F31" s="63"/>
      <c r="G31" s="61"/>
      <c r="H31" s="45">
        <f t="shared" si="0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13.2" x14ac:dyDescent="0.2">
      <c r="A32" s="125"/>
      <c r="B32" s="109"/>
      <c r="C32" s="195" t="s">
        <v>302</v>
      </c>
      <c r="D32" s="179" t="s">
        <v>87</v>
      </c>
      <c r="E32" s="219">
        <f>SUM(E29)*1.5</f>
        <v>692.55</v>
      </c>
      <c r="F32" s="63"/>
      <c r="G32" s="61"/>
      <c r="H32" s="45">
        <f t="shared" si="0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13.2" x14ac:dyDescent="0.2">
      <c r="A33" s="125"/>
      <c r="B33" s="109"/>
      <c r="C33" s="195" t="s">
        <v>303</v>
      </c>
      <c r="D33" s="179" t="s">
        <v>92</v>
      </c>
      <c r="E33" s="218">
        <f>SUM(E29)*0.04</f>
        <v>18.468</v>
      </c>
      <c r="F33" s="63"/>
      <c r="G33" s="61"/>
      <c r="H33" s="45">
        <f t="shared" si="0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39.6" x14ac:dyDescent="0.2">
      <c r="A34" s="125" t="s">
        <v>96</v>
      </c>
      <c r="B34" s="109" t="s">
        <v>261</v>
      </c>
      <c r="C34" s="195" t="s">
        <v>129</v>
      </c>
      <c r="D34" s="179" t="s">
        <v>92</v>
      </c>
      <c r="E34" s="218">
        <f>E29</f>
        <v>461.7</v>
      </c>
      <c r="F34" s="63"/>
      <c r="G34" s="61"/>
      <c r="H34" s="45">
        <f t="shared" si="0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26.4" x14ac:dyDescent="0.2">
      <c r="A35" s="125"/>
      <c r="B35" s="109"/>
      <c r="C35" s="195" t="s">
        <v>304</v>
      </c>
      <c r="D35" s="179" t="s">
        <v>300</v>
      </c>
      <c r="E35" s="219">
        <f>SUM(E34)*0.3</f>
        <v>138.51</v>
      </c>
      <c r="F35" s="63"/>
      <c r="G35" s="61"/>
      <c r="H35" s="45">
        <f t="shared" si="0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39.6" x14ac:dyDescent="0.2">
      <c r="A36" s="125" t="s">
        <v>103</v>
      </c>
      <c r="B36" s="109" t="s">
        <v>261</v>
      </c>
      <c r="C36" s="195" t="s">
        <v>305</v>
      </c>
      <c r="D36" s="179" t="s">
        <v>92</v>
      </c>
      <c r="E36" s="215">
        <v>1000</v>
      </c>
      <c r="F36" s="63"/>
      <c r="G36" s="61"/>
      <c r="H36" s="45">
        <f t="shared" si="0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13.2" x14ac:dyDescent="0.2">
      <c r="A37" s="125"/>
      <c r="B37" s="109"/>
      <c r="C37" s="195" t="s">
        <v>299</v>
      </c>
      <c r="D37" s="179" t="s">
        <v>300</v>
      </c>
      <c r="E37" s="206">
        <f>SUM(E36)*0.3</f>
        <v>300</v>
      </c>
      <c r="F37" s="63"/>
      <c r="G37" s="61"/>
      <c r="H37" s="45">
        <f t="shared" si="0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13.2" x14ac:dyDescent="0.2">
      <c r="A38" s="125"/>
      <c r="B38" s="109"/>
      <c r="C38" s="195" t="s">
        <v>301</v>
      </c>
      <c r="D38" s="179" t="s">
        <v>87</v>
      </c>
      <c r="E38" s="206">
        <f>SUM(E36)*3</f>
        <v>3000</v>
      </c>
      <c r="F38" s="63"/>
      <c r="G38" s="61"/>
      <c r="H38" s="45">
        <f t="shared" si="0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13.2" x14ac:dyDescent="0.2">
      <c r="A39" s="125"/>
      <c r="B39" s="109"/>
      <c r="C39" s="195" t="s">
        <v>302</v>
      </c>
      <c r="D39" s="179" t="s">
        <v>87</v>
      </c>
      <c r="E39" s="206">
        <f>SUM(E36)*1.5</f>
        <v>1500</v>
      </c>
      <c r="F39" s="63"/>
      <c r="G39" s="61"/>
      <c r="H39" s="45">
        <f t="shared" si="0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13.2" x14ac:dyDescent="0.2">
      <c r="A40" s="125"/>
      <c r="B40" s="109"/>
      <c r="C40" s="195" t="s">
        <v>303</v>
      </c>
      <c r="D40" s="179" t="s">
        <v>92</v>
      </c>
      <c r="E40" s="215">
        <f>SUM(E36)*0.04</f>
        <v>40</v>
      </c>
      <c r="F40" s="63"/>
      <c r="G40" s="61"/>
      <c r="H40" s="45">
        <f t="shared" si="0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39.6" x14ac:dyDescent="0.2">
      <c r="A41" s="125" t="s">
        <v>106</v>
      </c>
      <c r="B41" s="109" t="s">
        <v>261</v>
      </c>
      <c r="C41" s="195" t="s">
        <v>306</v>
      </c>
      <c r="D41" s="179" t="s">
        <v>92</v>
      </c>
      <c r="E41" s="215">
        <v>1000</v>
      </c>
      <c r="F41" s="63"/>
      <c r="G41" s="61"/>
      <c r="H41" s="45">
        <f t="shared" si="0"/>
        <v>0</v>
      </c>
      <c r="I41" s="61"/>
      <c r="J41" s="61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26.4" x14ac:dyDescent="0.2">
      <c r="A42" s="125"/>
      <c r="B42" s="109"/>
      <c r="C42" s="195" t="s">
        <v>307</v>
      </c>
      <c r="D42" s="179" t="s">
        <v>300</v>
      </c>
      <c r="E42" s="206">
        <f>SUM(E41)*0.3</f>
        <v>300</v>
      </c>
      <c r="F42" s="63"/>
      <c r="G42" s="61"/>
      <c r="H42" s="45">
        <f t="shared" si="0"/>
        <v>0</v>
      </c>
      <c r="I42" s="61"/>
      <c r="J42" s="61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52.8" x14ac:dyDescent="0.2">
      <c r="A43" s="125" t="s">
        <v>112</v>
      </c>
      <c r="B43" s="109" t="s">
        <v>261</v>
      </c>
      <c r="C43" s="195" t="s">
        <v>308</v>
      </c>
      <c r="D43" s="179" t="s">
        <v>92</v>
      </c>
      <c r="E43" s="218">
        <f>E26</f>
        <v>394.9</v>
      </c>
      <c r="F43" s="63"/>
      <c r="G43" s="61"/>
      <c r="H43" s="45">
        <f t="shared" si="0"/>
        <v>0</v>
      </c>
      <c r="I43" s="61"/>
      <c r="J43" s="61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39.6" x14ac:dyDescent="0.2">
      <c r="A44" s="125" t="s">
        <v>116</v>
      </c>
      <c r="B44" s="109" t="s">
        <v>261</v>
      </c>
      <c r="C44" s="195" t="s">
        <v>309</v>
      </c>
      <c r="D44" s="179" t="s">
        <v>92</v>
      </c>
      <c r="E44" s="215">
        <v>24</v>
      </c>
      <c r="F44" s="63"/>
      <c r="G44" s="61"/>
      <c r="H44" s="45">
        <f t="shared" si="0"/>
        <v>0</v>
      </c>
      <c r="I44" s="61"/>
      <c r="J44" s="61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13.2" x14ac:dyDescent="0.2">
      <c r="A45" s="125"/>
      <c r="B45" s="109"/>
      <c r="C45" s="195" t="s">
        <v>299</v>
      </c>
      <c r="D45" s="179" t="s">
        <v>300</v>
      </c>
      <c r="E45" s="206">
        <f>SUM(E44)*0.3</f>
        <v>7.1999999999999993</v>
      </c>
      <c r="F45" s="63"/>
      <c r="G45" s="61"/>
      <c r="H45" s="45">
        <f t="shared" si="0"/>
        <v>0</v>
      </c>
      <c r="I45" s="61"/>
      <c r="J45" s="61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ht="13.2" x14ac:dyDescent="0.2">
      <c r="A46" s="125"/>
      <c r="B46" s="109"/>
      <c r="C46" s="195" t="s">
        <v>310</v>
      </c>
      <c r="D46" s="179" t="s">
        <v>92</v>
      </c>
      <c r="E46" s="215">
        <f>SUM(E44)*1.2</f>
        <v>28.799999999999997</v>
      </c>
      <c r="F46" s="63"/>
      <c r="G46" s="61"/>
      <c r="H46" s="45">
        <f t="shared" si="0"/>
        <v>0</v>
      </c>
      <c r="I46" s="61"/>
      <c r="J46" s="61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ht="13.2" x14ac:dyDescent="0.2">
      <c r="A47" s="125"/>
      <c r="B47" s="109"/>
      <c r="C47" s="195" t="s">
        <v>311</v>
      </c>
      <c r="D47" s="179" t="s">
        <v>87</v>
      </c>
      <c r="E47" s="206">
        <f>SUM(E44)*4</f>
        <v>96</v>
      </c>
      <c r="F47" s="63"/>
      <c r="G47" s="61"/>
      <c r="H47" s="45">
        <f t="shared" si="0"/>
        <v>0</v>
      </c>
      <c r="I47" s="61"/>
      <c r="J47" s="61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13.2" x14ac:dyDescent="0.2">
      <c r="A48" s="125"/>
      <c r="B48" s="109"/>
      <c r="C48" s="195" t="s">
        <v>312</v>
      </c>
      <c r="D48" s="179" t="s">
        <v>87</v>
      </c>
      <c r="E48" s="206">
        <f>SUM(E44)*0.3</f>
        <v>7.1999999999999993</v>
      </c>
      <c r="F48" s="63"/>
      <c r="G48" s="61"/>
      <c r="H48" s="45">
        <f t="shared" si="0"/>
        <v>0</v>
      </c>
      <c r="I48" s="61"/>
      <c r="J48" s="61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39.6" x14ac:dyDescent="0.2">
      <c r="A49" s="125" t="s">
        <v>139</v>
      </c>
      <c r="B49" s="109" t="s">
        <v>261</v>
      </c>
      <c r="C49" s="95" t="s">
        <v>313</v>
      </c>
      <c r="D49" s="93" t="s">
        <v>92</v>
      </c>
      <c r="E49" s="106">
        <v>121.2</v>
      </c>
      <c r="F49" s="63"/>
      <c r="G49" s="61"/>
      <c r="H49" s="45">
        <f t="shared" si="0"/>
        <v>0</v>
      </c>
      <c r="I49" s="61"/>
      <c r="J49" s="61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39.6" x14ac:dyDescent="0.2">
      <c r="A50" s="125" t="s">
        <v>142</v>
      </c>
      <c r="B50" s="109" t="s">
        <v>117</v>
      </c>
      <c r="C50" s="211" t="s">
        <v>314</v>
      </c>
      <c r="D50" s="212" t="s">
        <v>63</v>
      </c>
      <c r="E50" s="213">
        <f>9*3*4+1.7*4+1.5*4</f>
        <v>120.8</v>
      </c>
      <c r="F50" s="63"/>
      <c r="G50" s="61"/>
      <c r="H50" s="45">
        <f t="shared" si="0"/>
        <v>0</v>
      </c>
      <c r="I50" s="61"/>
      <c r="J50" s="61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40.200000000000003" thickBot="1" x14ac:dyDescent="0.25">
      <c r="A51" s="125" t="s">
        <v>315</v>
      </c>
      <c r="B51" s="109" t="s">
        <v>261</v>
      </c>
      <c r="C51" s="95" t="s">
        <v>316</v>
      </c>
      <c r="D51" s="93" t="s">
        <v>92</v>
      </c>
      <c r="E51" s="106">
        <v>20</v>
      </c>
      <c r="F51" s="63"/>
      <c r="G51" s="61"/>
      <c r="H51" s="45">
        <f t="shared" si="0"/>
        <v>0</v>
      </c>
      <c r="I51" s="61"/>
      <c r="J51" s="61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10.8" thickBot="1" x14ac:dyDescent="0.25">
      <c r="A52" s="280" t="s">
        <v>243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2"/>
      <c r="L52" s="64">
        <f>SUM(L14:L51)</f>
        <v>0</v>
      </c>
      <c r="M52" s="65">
        <f>SUM(M14:M51)</f>
        <v>0</v>
      </c>
      <c r="N52" s="65">
        <f>SUM(N14:N51)</f>
        <v>0</v>
      </c>
      <c r="O52" s="65">
        <f>SUM(O14:O51)</f>
        <v>0</v>
      </c>
      <c r="P52" s="66">
        <f>SUM(P14:P51)</f>
        <v>0</v>
      </c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" t="s">
        <v>14</v>
      </c>
      <c r="B55" s="17"/>
      <c r="C55" s="279">
        <f>'1a'!C33:H33</f>
        <v>0</v>
      </c>
      <c r="D55" s="279"/>
      <c r="E55" s="279"/>
      <c r="F55" s="279"/>
      <c r="G55" s="279"/>
      <c r="H55" s="279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231" t="s">
        <v>15</v>
      </c>
      <c r="D56" s="231"/>
      <c r="E56" s="231"/>
      <c r="F56" s="231"/>
      <c r="G56" s="231"/>
      <c r="H56" s="231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83" t="str">
        <f>'Kops a'!A35</f>
        <v>Tāme sastādīta</v>
      </c>
      <c r="B58" s="84"/>
      <c r="C58" s="84"/>
      <c r="D58" s="8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" t="s">
        <v>37</v>
      </c>
      <c r="B60" s="17"/>
      <c r="C60" s="279">
        <f>'6a'!C37:H37</f>
        <v>0</v>
      </c>
      <c r="D60" s="279"/>
      <c r="E60" s="279"/>
      <c r="F60" s="279"/>
      <c r="G60" s="279"/>
      <c r="H60" s="279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17"/>
      <c r="B61" s="17"/>
      <c r="C61" s="231" t="s">
        <v>15</v>
      </c>
      <c r="D61" s="231"/>
      <c r="E61" s="231"/>
      <c r="F61" s="231"/>
      <c r="G61" s="231"/>
      <c r="H61" s="231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83" t="s">
        <v>54</v>
      </c>
      <c r="B63" s="84"/>
      <c r="C63" s="88">
        <f>'6a'!C40</f>
        <v>0</v>
      </c>
      <c r="D63" s="48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61:H61"/>
    <mergeCell ref="C4:I4"/>
    <mergeCell ref="F12:K12"/>
    <mergeCell ref="A9:F9"/>
    <mergeCell ref="J9:M9"/>
    <mergeCell ref="D8:L8"/>
    <mergeCell ref="A52:K52"/>
    <mergeCell ref="C55:H55"/>
    <mergeCell ref="C56:H56"/>
    <mergeCell ref="C60:H60"/>
  </mergeCells>
  <conditionalFormatting sqref="A15:B51 I15:J51 D15:G51">
    <cfRule type="cellIs" dxfId="40" priority="27" operator="equal">
      <formula>0</formula>
    </cfRule>
  </conditionalFormatting>
  <conditionalFormatting sqref="N9:O9">
    <cfRule type="cellIs" dxfId="39" priority="26" operator="equal">
      <formula>0</formula>
    </cfRule>
  </conditionalFormatting>
  <conditionalFormatting sqref="A9:F9">
    <cfRule type="containsText" dxfId="38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7" priority="23" operator="equal">
      <formula>0</formula>
    </cfRule>
  </conditionalFormatting>
  <conditionalFormatting sqref="O10">
    <cfRule type="cellIs" dxfId="36" priority="22" operator="equal">
      <formula>"20__. gada __. _________"</formula>
    </cfRule>
  </conditionalFormatting>
  <conditionalFormatting sqref="A52:K52">
    <cfRule type="containsText" dxfId="35" priority="21" operator="containsText" text="Tiešās izmaksas kopā, t. sk. darba devēja sociālais nodoklis __.__% ">
      <formula>NOT(ISERROR(SEARCH("Tiešās izmaksas kopā, t. sk. darba devēja sociālais nodoklis __.__% ",A52)))</formula>
    </cfRule>
  </conditionalFormatting>
  <conditionalFormatting sqref="H14:H51 K14:P51 L52:P52">
    <cfRule type="cellIs" dxfId="34" priority="16" operator="equal">
      <formula>0</formula>
    </cfRule>
  </conditionalFormatting>
  <conditionalFormatting sqref="C4:I4">
    <cfRule type="cellIs" dxfId="33" priority="15" operator="equal">
      <formula>0</formula>
    </cfRule>
  </conditionalFormatting>
  <conditionalFormatting sqref="C15:C51">
    <cfRule type="cellIs" dxfId="32" priority="14" operator="equal">
      <formula>0</formula>
    </cfRule>
  </conditionalFormatting>
  <conditionalFormatting sqref="D5:L8">
    <cfRule type="cellIs" dxfId="31" priority="11" operator="equal">
      <formula>0</formula>
    </cfRule>
  </conditionalFormatting>
  <conditionalFormatting sqref="A14:B14 D14:G14">
    <cfRule type="cellIs" dxfId="30" priority="10" operator="equal">
      <formula>0</formula>
    </cfRule>
  </conditionalFormatting>
  <conditionalFormatting sqref="C14">
    <cfRule type="cellIs" dxfId="29" priority="9" operator="equal">
      <formula>0</formula>
    </cfRule>
  </conditionalFormatting>
  <conditionalFormatting sqref="I14:J14">
    <cfRule type="cellIs" dxfId="28" priority="8" operator="equal">
      <formula>0</formula>
    </cfRule>
  </conditionalFormatting>
  <conditionalFormatting sqref="P10">
    <cfRule type="cellIs" dxfId="27" priority="7" operator="equal">
      <formula>"20__. gada __. _________"</formula>
    </cfRule>
  </conditionalFormatting>
  <conditionalFormatting sqref="C60:H60">
    <cfRule type="cellIs" dxfId="26" priority="4" operator="equal">
      <formula>0</formula>
    </cfRule>
  </conditionalFormatting>
  <conditionalFormatting sqref="C55:H55">
    <cfRule type="cellIs" dxfId="25" priority="3" operator="equal">
      <formula>0</formula>
    </cfRule>
  </conditionalFormatting>
  <conditionalFormatting sqref="C60:H60 C63 C55:H55">
    <cfRule type="cellIs" dxfId="24" priority="2" operator="equal">
      <formula>0</formula>
    </cfRule>
  </conditionalFormatting>
  <conditionalFormatting sqref="D1">
    <cfRule type="cellIs" dxfId="23" priority="1" operator="equal">
      <formula>0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______________",A58)))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A58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_________________________________",A63)))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53"/>
  <sheetViews>
    <sheetView tabSelected="1" workbookViewId="0">
      <selection activeCell="E18" sqref="E18"/>
    </sheetView>
  </sheetViews>
  <sheetFormatPr defaultColWidth="9.109375" defaultRowHeight="10.199999999999999" x14ac:dyDescent="0.2"/>
  <cols>
    <col min="1" max="1" width="4.44140625" style="1" customWidth="1"/>
    <col min="2" max="2" width="5.33203125" style="1" customWidth="1"/>
    <col min="3" max="3" width="38.44140625" style="1" customWidth="1"/>
    <col min="4" max="4" width="5.77734375" style="1" customWidth="1"/>
    <col min="5" max="5" width="8.6640625" style="1" customWidth="1"/>
    <col min="6" max="6" width="5.44140625" style="1" customWidth="1"/>
    <col min="7" max="7" width="4.77734375" style="1" customWidth="1"/>
    <col min="8" max="8" width="6.6640625" style="1" customWidth="1"/>
    <col min="9" max="9" width="5" style="1" customWidth="1"/>
    <col min="10" max="10" width="4.44140625" style="1" customWidth="1"/>
    <col min="11" max="11" width="5" style="1" customWidth="1"/>
    <col min="12" max="13" width="4.77734375" style="1" customWidth="1"/>
    <col min="14" max="14" width="4.33203125" style="1" customWidth="1"/>
    <col min="15" max="15" width="4.6640625" style="1" customWidth="1"/>
    <col min="16" max="16" width="5.109375" style="1" customWidth="1"/>
    <col min="17" max="16384" width="9.109375" style="1"/>
  </cols>
  <sheetData>
    <row r="1" spans="1:16" x14ac:dyDescent="0.2">
      <c r="A1" s="23"/>
      <c r="B1" s="23"/>
      <c r="C1" s="27" t="s">
        <v>38</v>
      </c>
      <c r="D1" s="49">
        <f>'Kops a'!A22</f>
        <v>8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83" t="s">
        <v>317</v>
      </c>
      <c r="D2" s="283"/>
      <c r="E2" s="283"/>
      <c r="F2" s="283"/>
      <c r="G2" s="283"/>
      <c r="H2" s="283"/>
      <c r="I2" s="283"/>
      <c r="J2" s="29"/>
    </row>
    <row r="3" spans="1:16" x14ac:dyDescent="0.2">
      <c r="A3" s="30"/>
      <c r="B3" s="30"/>
      <c r="C3" s="274" t="s">
        <v>17</v>
      </c>
      <c r="D3" s="274"/>
      <c r="E3" s="274"/>
      <c r="F3" s="274"/>
      <c r="G3" s="274"/>
      <c r="H3" s="274"/>
      <c r="I3" s="274"/>
      <c r="J3" s="30"/>
    </row>
    <row r="4" spans="1:16" x14ac:dyDescent="0.2">
      <c r="A4" s="30"/>
      <c r="B4" s="30"/>
      <c r="C4" s="284" t="s">
        <v>52</v>
      </c>
      <c r="D4" s="284"/>
      <c r="E4" s="284"/>
      <c r="F4" s="284"/>
      <c r="G4" s="284"/>
      <c r="H4" s="284"/>
      <c r="I4" s="284"/>
      <c r="J4" s="30"/>
    </row>
    <row r="5" spans="1:16" x14ac:dyDescent="0.2">
      <c r="A5" s="23"/>
      <c r="B5" s="23"/>
      <c r="C5" s="27" t="s">
        <v>5</v>
      </c>
      <c r="D5" s="297" t="str">
        <f>'Kops a'!D6</f>
        <v xml:space="preserve"> Dzīvojamā māja</v>
      </c>
      <c r="E5" s="297"/>
      <c r="F5" s="297"/>
      <c r="G5" s="297"/>
      <c r="H5" s="297"/>
      <c r="I5" s="297"/>
      <c r="J5" s="297"/>
      <c r="K5" s="297"/>
      <c r="L5" s="297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97" t="str">
        <f>'Kops a'!D7</f>
        <v xml:space="preserve">Energoefektivitātes paaugstināšanas projekts dzīvojamai mājai </v>
      </c>
      <c r="E6" s="297"/>
      <c r="F6" s="297"/>
      <c r="G6" s="297"/>
      <c r="H6" s="297"/>
      <c r="I6" s="297"/>
      <c r="J6" s="297"/>
      <c r="K6" s="297"/>
      <c r="L6" s="297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97" t="str">
        <f>'Kops a'!D8</f>
        <v>Kristapa Helmaņa iela 5, Jelgava, LV-3004, KAD.NR.09000270201001</v>
      </c>
      <c r="E7" s="297"/>
      <c r="F7" s="297"/>
      <c r="G7" s="297"/>
      <c r="H7" s="297"/>
      <c r="I7" s="297"/>
      <c r="J7" s="297"/>
      <c r="K7" s="297"/>
      <c r="L7" s="297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97">
        <f>'Kops a'!D9</f>
        <v>0</v>
      </c>
      <c r="E8" s="297"/>
      <c r="F8" s="297"/>
      <c r="G8" s="297"/>
      <c r="H8" s="297"/>
      <c r="I8" s="297"/>
      <c r="J8" s="297"/>
      <c r="K8" s="297"/>
      <c r="L8" s="297"/>
      <c r="M8" s="17"/>
      <c r="N8" s="17"/>
      <c r="O8" s="17"/>
      <c r="P8" s="17"/>
    </row>
    <row r="9" spans="1:16" ht="11.25" customHeight="1" x14ac:dyDescent="0.2">
      <c r="A9" s="285" t="s">
        <v>318</v>
      </c>
      <c r="B9" s="285"/>
      <c r="C9" s="285"/>
      <c r="D9" s="285"/>
      <c r="E9" s="285"/>
      <c r="F9" s="285"/>
      <c r="G9" s="31"/>
      <c r="H9" s="31"/>
      <c r="I9" s="31"/>
      <c r="J9" s="289" t="s">
        <v>39</v>
      </c>
      <c r="K9" s="289"/>
      <c r="L9" s="289"/>
      <c r="M9" s="289"/>
      <c r="N9" s="296">
        <f>P41</f>
        <v>0</v>
      </c>
      <c r="O9" s="296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A47</f>
        <v>Tāme sastādīta</v>
      </c>
    </row>
    <row r="11" spans="1:16" ht="10.8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253" t="s">
        <v>23</v>
      </c>
      <c r="B12" s="291" t="s">
        <v>40</v>
      </c>
      <c r="C12" s="287" t="s">
        <v>41</v>
      </c>
      <c r="D12" s="294" t="s">
        <v>42</v>
      </c>
      <c r="E12" s="277" t="s">
        <v>43</v>
      </c>
      <c r="F12" s="286" t="s">
        <v>44</v>
      </c>
      <c r="G12" s="287"/>
      <c r="H12" s="287"/>
      <c r="I12" s="287"/>
      <c r="J12" s="287"/>
      <c r="K12" s="288"/>
      <c r="L12" s="286" t="s">
        <v>45</v>
      </c>
      <c r="M12" s="287"/>
      <c r="N12" s="287"/>
      <c r="O12" s="287"/>
      <c r="P12" s="288"/>
    </row>
    <row r="13" spans="1:16" ht="126.75" customHeight="1" thickBot="1" x14ac:dyDescent="0.25">
      <c r="A13" s="290"/>
      <c r="B13" s="292"/>
      <c r="C13" s="293"/>
      <c r="D13" s="295"/>
      <c r="E13" s="278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3.2" x14ac:dyDescent="0.2">
      <c r="A14" s="90"/>
      <c r="B14" s="167"/>
      <c r="C14" s="179" t="s">
        <v>319</v>
      </c>
      <c r="D14" s="220"/>
      <c r="E14" s="220"/>
      <c r="F14" s="63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13.2" x14ac:dyDescent="0.25">
      <c r="A15" s="90">
        <v>1</v>
      </c>
      <c r="B15" s="167" t="s">
        <v>122</v>
      </c>
      <c r="C15" s="221" t="s">
        <v>320</v>
      </c>
      <c r="D15" s="222" t="s">
        <v>76</v>
      </c>
      <c r="E15" s="223">
        <f>SUM(E18:E23)</f>
        <v>184</v>
      </c>
      <c r="F15" s="63"/>
      <c r="G15" s="61"/>
      <c r="H15" s="45">
        <f t="shared" ref="H15:H40" si="0">ROUND(F15*G15,2)</f>
        <v>0</v>
      </c>
      <c r="I15" s="61"/>
      <c r="J15" s="61"/>
      <c r="K15" s="46">
        <f t="shared" ref="K15:K40" si="1">SUM(H15:J15)</f>
        <v>0</v>
      </c>
      <c r="L15" s="47">
        <f t="shared" ref="L15:L40" si="2">ROUND(E15*F15,2)</f>
        <v>0</v>
      </c>
      <c r="M15" s="45">
        <f t="shared" ref="M15:M40" si="3">ROUND(H15*E15,2)</f>
        <v>0</v>
      </c>
      <c r="N15" s="45">
        <f t="shared" ref="N15:N40" si="4">ROUND(I15*E15,2)</f>
        <v>0</v>
      </c>
      <c r="O15" s="45">
        <f t="shared" ref="O15:O40" si="5">ROUND(J15*E15,2)</f>
        <v>0</v>
      </c>
      <c r="P15" s="46">
        <f t="shared" ref="P15:P40" si="6">SUM(M15:O15)</f>
        <v>0</v>
      </c>
    </row>
    <row r="16" spans="1:16" ht="13.2" x14ac:dyDescent="0.25">
      <c r="A16" s="90">
        <v>2</v>
      </c>
      <c r="B16" s="167" t="s">
        <v>122</v>
      </c>
      <c r="C16" s="221" t="s">
        <v>321</v>
      </c>
      <c r="D16" s="222" t="s">
        <v>102</v>
      </c>
      <c r="E16" s="224">
        <v>1</v>
      </c>
      <c r="F16" s="63"/>
      <c r="G16" s="61"/>
      <c r="H16" s="45">
        <f t="shared" si="0"/>
        <v>0</v>
      </c>
      <c r="I16" s="61"/>
      <c r="J16" s="61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13.2" x14ac:dyDescent="0.2">
      <c r="A17" s="209">
        <v>3</v>
      </c>
      <c r="B17" s="97" t="s">
        <v>122</v>
      </c>
      <c r="C17" s="98" t="s">
        <v>322</v>
      </c>
      <c r="D17" s="93" t="s">
        <v>76</v>
      </c>
      <c r="E17" s="215">
        <v>200</v>
      </c>
      <c r="F17" s="63"/>
      <c r="G17" s="61"/>
      <c r="H17" s="45">
        <f t="shared" si="0"/>
        <v>0</v>
      </c>
      <c r="I17" s="61"/>
      <c r="J17" s="61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52.8" x14ac:dyDescent="0.2">
      <c r="A18" s="90">
        <v>4</v>
      </c>
      <c r="B18" s="167" t="s">
        <v>323</v>
      </c>
      <c r="C18" s="225" t="s">
        <v>324</v>
      </c>
      <c r="D18" s="222" t="s">
        <v>102</v>
      </c>
      <c r="E18" s="108">
        <v>39</v>
      </c>
      <c r="F18" s="63"/>
      <c r="G18" s="61"/>
      <c r="H18" s="45">
        <f t="shared" si="0"/>
        <v>0</v>
      </c>
      <c r="I18" s="61"/>
      <c r="J18" s="61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52.8" x14ac:dyDescent="0.2">
      <c r="A19" s="90">
        <v>5</v>
      </c>
      <c r="B19" s="167" t="s">
        <v>323</v>
      </c>
      <c r="C19" s="225" t="s">
        <v>325</v>
      </c>
      <c r="D19" s="222" t="s">
        <v>102</v>
      </c>
      <c r="E19" s="108">
        <v>11</v>
      </c>
      <c r="F19" s="63"/>
      <c r="G19" s="61"/>
      <c r="H19" s="45">
        <f t="shared" si="0"/>
        <v>0</v>
      </c>
      <c r="I19" s="61"/>
      <c r="J19" s="61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52.8" x14ac:dyDescent="0.2">
      <c r="A20" s="90">
        <v>6</v>
      </c>
      <c r="B20" s="167" t="s">
        <v>323</v>
      </c>
      <c r="C20" s="225" t="s">
        <v>326</v>
      </c>
      <c r="D20" s="222" t="s">
        <v>102</v>
      </c>
      <c r="E20" s="108">
        <v>10</v>
      </c>
      <c r="F20" s="63"/>
      <c r="G20" s="61"/>
      <c r="H20" s="45">
        <f t="shared" si="0"/>
        <v>0</v>
      </c>
      <c r="I20" s="61"/>
      <c r="J20" s="61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52.8" x14ac:dyDescent="0.2">
      <c r="A21" s="209">
        <v>7</v>
      </c>
      <c r="B21" s="167" t="s">
        <v>323</v>
      </c>
      <c r="C21" s="225" t="s">
        <v>327</v>
      </c>
      <c r="D21" s="222" t="s">
        <v>102</v>
      </c>
      <c r="E21" s="108">
        <v>79</v>
      </c>
      <c r="F21" s="63"/>
      <c r="G21" s="61"/>
      <c r="H21" s="45">
        <f t="shared" si="0"/>
        <v>0</v>
      </c>
      <c r="I21" s="61"/>
      <c r="J21" s="61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52.8" x14ac:dyDescent="0.2">
      <c r="A22" s="90">
        <v>8</v>
      </c>
      <c r="B22" s="167" t="s">
        <v>323</v>
      </c>
      <c r="C22" s="225" t="s">
        <v>328</v>
      </c>
      <c r="D22" s="222" t="s">
        <v>102</v>
      </c>
      <c r="E22" s="108">
        <v>41</v>
      </c>
      <c r="F22" s="63"/>
      <c r="G22" s="61"/>
      <c r="H22" s="45">
        <f t="shared" si="0"/>
        <v>0</v>
      </c>
      <c r="I22" s="61"/>
      <c r="J22" s="61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52.8" x14ac:dyDescent="0.2">
      <c r="A23" s="90">
        <v>9</v>
      </c>
      <c r="B23" s="167" t="s">
        <v>323</v>
      </c>
      <c r="C23" s="225" t="s">
        <v>329</v>
      </c>
      <c r="D23" s="222" t="s">
        <v>102</v>
      </c>
      <c r="E23" s="108">
        <v>4</v>
      </c>
      <c r="F23" s="63"/>
      <c r="G23" s="61"/>
      <c r="H23" s="45">
        <f t="shared" si="0"/>
        <v>0</v>
      </c>
      <c r="I23" s="61"/>
      <c r="J23" s="61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3.2" x14ac:dyDescent="0.25">
      <c r="A24" s="90">
        <v>10</v>
      </c>
      <c r="B24" s="167" t="s">
        <v>323</v>
      </c>
      <c r="C24" s="195" t="s">
        <v>330</v>
      </c>
      <c r="D24" s="222" t="s">
        <v>102</v>
      </c>
      <c r="E24" s="226">
        <v>184</v>
      </c>
      <c r="F24" s="63"/>
      <c r="G24" s="61"/>
      <c r="H24" s="45">
        <f t="shared" si="0"/>
        <v>0</v>
      </c>
      <c r="I24" s="61"/>
      <c r="J24" s="61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3.2" x14ac:dyDescent="0.25">
      <c r="A25" s="209">
        <v>11</v>
      </c>
      <c r="B25" s="167" t="s">
        <v>323</v>
      </c>
      <c r="C25" s="195" t="s">
        <v>331</v>
      </c>
      <c r="D25" s="222" t="s">
        <v>102</v>
      </c>
      <c r="E25" s="226">
        <v>184</v>
      </c>
      <c r="F25" s="63"/>
      <c r="G25" s="61"/>
      <c r="H25" s="45">
        <f t="shared" si="0"/>
        <v>0</v>
      </c>
      <c r="I25" s="61"/>
      <c r="J25" s="61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26.4" x14ac:dyDescent="0.25">
      <c r="A26" s="90">
        <v>12</v>
      </c>
      <c r="B26" s="167" t="s">
        <v>323</v>
      </c>
      <c r="C26" s="195" t="s">
        <v>332</v>
      </c>
      <c r="D26" s="222" t="s">
        <v>76</v>
      </c>
      <c r="E26" s="226">
        <v>184</v>
      </c>
      <c r="F26" s="63"/>
      <c r="G26" s="61"/>
      <c r="H26" s="45">
        <f t="shared" si="0"/>
        <v>0</v>
      </c>
      <c r="I26" s="61"/>
      <c r="J26" s="61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26.4" x14ac:dyDescent="0.25">
      <c r="A27" s="90">
        <v>13</v>
      </c>
      <c r="B27" s="167" t="s">
        <v>323</v>
      </c>
      <c r="C27" s="195" t="s">
        <v>333</v>
      </c>
      <c r="D27" s="222" t="s">
        <v>76</v>
      </c>
      <c r="E27" s="226">
        <v>36</v>
      </c>
      <c r="F27" s="63"/>
      <c r="G27" s="61"/>
      <c r="H27" s="45">
        <f t="shared" si="0"/>
        <v>0</v>
      </c>
      <c r="I27" s="61"/>
      <c r="J27" s="61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6.4" x14ac:dyDescent="0.25">
      <c r="A28" s="90">
        <v>14</v>
      </c>
      <c r="B28" s="167" t="s">
        <v>323</v>
      </c>
      <c r="C28" s="195" t="s">
        <v>334</v>
      </c>
      <c r="D28" s="222" t="s">
        <v>102</v>
      </c>
      <c r="E28" s="223">
        <v>44</v>
      </c>
      <c r="F28" s="63"/>
      <c r="G28" s="61"/>
      <c r="H28" s="45">
        <f t="shared" si="0"/>
        <v>0</v>
      </c>
      <c r="I28" s="61"/>
      <c r="J28" s="61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26.4" x14ac:dyDescent="0.25">
      <c r="A29" s="209">
        <v>15</v>
      </c>
      <c r="B29" s="167" t="s">
        <v>323</v>
      </c>
      <c r="C29" s="195" t="s">
        <v>335</v>
      </c>
      <c r="D29" s="222" t="s">
        <v>102</v>
      </c>
      <c r="E29" s="226">
        <v>44</v>
      </c>
      <c r="F29" s="63"/>
      <c r="G29" s="61"/>
      <c r="H29" s="45">
        <f t="shared" si="0"/>
        <v>0</v>
      </c>
      <c r="I29" s="61"/>
      <c r="J29" s="61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3.2" x14ac:dyDescent="0.25">
      <c r="A30" s="90">
        <v>16</v>
      </c>
      <c r="B30" s="167" t="s">
        <v>323</v>
      </c>
      <c r="C30" s="195" t="s">
        <v>336</v>
      </c>
      <c r="D30" s="222" t="s">
        <v>102</v>
      </c>
      <c r="E30" s="224">
        <v>16</v>
      </c>
      <c r="F30" s="63"/>
      <c r="G30" s="61"/>
      <c r="H30" s="45">
        <f t="shared" si="0"/>
        <v>0</v>
      </c>
      <c r="I30" s="61"/>
      <c r="J30" s="61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13.2" x14ac:dyDescent="0.25">
      <c r="A31" s="90">
        <v>17</v>
      </c>
      <c r="B31" s="167" t="s">
        <v>323</v>
      </c>
      <c r="C31" s="195" t="s">
        <v>337</v>
      </c>
      <c r="D31" s="222" t="s">
        <v>102</v>
      </c>
      <c r="E31" s="224">
        <v>72</v>
      </c>
      <c r="F31" s="63"/>
      <c r="G31" s="61"/>
      <c r="H31" s="45">
        <f t="shared" si="0"/>
        <v>0</v>
      </c>
      <c r="I31" s="61"/>
      <c r="J31" s="61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13.2" x14ac:dyDescent="0.25">
      <c r="A32" s="90">
        <v>18</v>
      </c>
      <c r="B32" s="167" t="s">
        <v>323</v>
      </c>
      <c r="C32" s="195" t="s">
        <v>338</v>
      </c>
      <c r="D32" s="222" t="s">
        <v>102</v>
      </c>
      <c r="E32" s="224">
        <v>176</v>
      </c>
      <c r="F32" s="63"/>
      <c r="G32" s="61"/>
      <c r="H32" s="45">
        <f t="shared" si="0"/>
        <v>0</v>
      </c>
      <c r="I32" s="61"/>
      <c r="J32" s="61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13.2" x14ac:dyDescent="0.25">
      <c r="A33" s="209">
        <v>19</v>
      </c>
      <c r="B33" s="167" t="s">
        <v>323</v>
      </c>
      <c r="C33" s="195" t="s">
        <v>339</v>
      </c>
      <c r="D33" s="222" t="s">
        <v>63</v>
      </c>
      <c r="E33" s="224">
        <v>1050</v>
      </c>
      <c r="F33" s="63"/>
      <c r="G33" s="61"/>
      <c r="H33" s="45">
        <f t="shared" si="0"/>
        <v>0</v>
      </c>
      <c r="I33" s="61"/>
      <c r="J33" s="61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13.2" x14ac:dyDescent="0.25">
      <c r="A34" s="90">
        <v>20</v>
      </c>
      <c r="B34" s="167" t="s">
        <v>323</v>
      </c>
      <c r="C34" s="195" t="s">
        <v>340</v>
      </c>
      <c r="D34" s="222" t="s">
        <v>63</v>
      </c>
      <c r="E34" s="224">
        <v>720</v>
      </c>
      <c r="F34" s="63"/>
      <c r="G34" s="61"/>
      <c r="H34" s="45">
        <f t="shared" si="0"/>
        <v>0</v>
      </c>
      <c r="I34" s="61"/>
      <c r="J34" s="61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39.6" x14ac:dyDescent="0.25">
      <c r="A35" s="90">
        <v>21</v>
      </c>
      <c r="B35" s="167" t="s">
        <v>323</v>
      </c>
      <c r="C35" s="195" t="s">
        <v>341</v>
      </c>
      <c r="D35" s="222" t="s">
        <v>63</v>
      </c>
      <c r="E35" s="224">
        <v>60</v>
      </c>
      <c r="F35" s="63"/>
      <c r="G35" s="61"/>
      <c r="H35" s="45">
        <f t="shared" si="0"/>
        <v>0</v>
      </c>
      <c r="I35" s="61"/>
      <c r="J35" s="61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39.6" x14ac:dyDescent="0.25">
      <c r="A36" s="90">
        <v>22</v>
      </c>
      <c r="B36" s="227" t="s">
        <v>323</v>
      </c>
      <c r="C36" s="195" t="s">
        <v>342</v>
      </c>
      <c r="D36" s="228" t="s">
        <v>63</v>
      </c>
      <c r="E36" s="229">
        <v>240</v>
      </c>
      <c r="F36" s="63"/>
      <c r="G36" s="61"/>
      <c r="H36" s="45">
        <f t="shared" si="0"/>
        <v>0</v>
      </c>
      <c r="I36" s="61"/>
      <c r="J36" s="61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39.6" x14ac:dyDescent="0.25">
      <c r="A37" s="209">
        <v>23</v>
      </c>
      <c r="B37" s="227" t="s">
        <v>323</v>
      </c>
      <c r="C37" s="195" t="s">
        <v>343</v>
      </c>
      <c r="D37" s="228" t="s">
        <v>63</v>
      </c>
      <c r="E37" s="229">
        <v>600</v>
      </c>
      <c r="F37" s="63"/>
      <c r="G37" s="61"/>
      <c r="H37" s="45">
        <f t="shared" si="0"/>
        <v>0</v>
      </c>
      <c r="I37" s="61"/>
      <c r="J37" s="61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0.399999999999999" x14ac:dyDescent="0.25">
      <c r="A38" s="90">
        <v>24</v>
      </c>
      <c r="B38" s="227" t="s">
        <v>323</v>
      </c>
      <c r="C38" s="221" t="s">
        <v>344</v>
      </c>
      <c r="D38" s="222" t="s">
        <v>76</v>
      </c>
      <c r="E38" s="224">
        <v>376</v>
      </c>
      <c r="F38" s="63"/>
      <c r="G38" s="61"/>
      <c r="H38" s="45">
        <f t="shared" si="0"/>
        <v>0</v>
      </c>
      <c r="I38" s="61"/>
      <c r="J38" s="61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20.399999999999999" x14ac:dyDescent="0.25">
      <c r="A39" s="90">
        <v>25</v>
      </c>
      <c r="B39" s="227" t="s">
        <v>323</v>
      </c>
      <c r="C39" s="230" t="s">
        <v>345</v>
      </c>
      <c r="D39" s="222" t="s">
        <v>102</v>
      </c>
      <c r="E39" s="224">
        <v>1</v>
      </c>
      <c r="F39" s="63"/>
      <c r="G39" s="61"/>
      <c r="H39" s="45">
        <f t="shared" si="0"/>
        <v>0</v>
      </c>
      <c r="I39" s="61"/>
      <c r="J39" s="61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27" thickBot="1" x14ac:dyDescent="0.3">
      <c r="A40" s="90">
        <v>26</v>
      </c>
      <c r="B40" s="227" t="s">
        <v>323</v>
      </c>
      <c r="C40" s="195" t="s">
        <v>346</v>
      </c>
      <c r="D40" s="222" t="s">
        <v>102</v>
      </c>
      <c r="E40" s="224">
        <v>1</v>
      </c>
      <c r="F40" s="63"/>
      <c r="G40" s="61"/>
      <c r="H40" s="45">
        <f t="shared" si="0"/>
        <v>0</v>
      </c>
      <c r="I40" s="61"/>
      <c r="J40" s="61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10.8" thickBot="1" x14ac:dyDescent="0.25">
      <c r="A41" s="280" t="s">
        <v>243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2"/>
      <c r="L41" s="64">
        <f>SUM(L14:L40)</f>
        <v>0</v>
      </c>
      <c r="M41" s="65">
        <f>SUM(M14:M40)</f>
        <v>0</v>
      </c>
      <c r="N41" s="65">
        <f>SUM(N14:N40)</f>
        <v>0</v>
      </c>
      <c r="O41" s="65">
        <f>SUM(O14:O40)</f>
        <v>0</v>
      </c>
      <c r="P41" s="66">
        <f>SUM(P14:P40)</f>
        <v>0</v>
      </c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" t="s">
        <v>14</v>
      </c>
      <c r="B44" s="17"/>
      <c r="C44" s="279">
        <f>'7a'!C55:H55</f>
        <v>0</v>
      </c>
      <c r="D44" s="279"/>
      <c r="E44" s="279"/>
      <c r="F44" s="279"/>
      <c r="G44" s="279"/>
      <c r="H44" s="279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231" t="s">
        <v>15</v>
      </c>
      <c r="D45" s="231"/>
      <c r="E45" s="231"/>
      <c r="F45" s="231"/>
      <c r="G45" s="231"/>
      <c r="H45" s="231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83" t="str">
        <f>'Kops a'!A35</f>
        <v>Tāme sastādīta</v>
      </c>
      <c r="B47" s="84"/>
      <c r="C47" s="84"/>
      <c r="D47" s="8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37</v>
      </c>
      <c r="B49" s="17"/>
      <c r="C49" s="279">
        <f>'7a'!C60:H60</f>
        <v>0</v>
      </c>
      <c r="D49" s="279"/>
      <c r="E49" s="279"/>
      <c r="F49" s="279"/>
      <c r="G49" s="279"/>
      <c r="H49" s="279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231" t="s">
        <v>15</v>
      </c>
      <c r="D50" s="231"/>
      <c r="E50" s="231"/>
      <c r="F50" s="231"/>
      <c r="G50" s="231"/>
      <c r="H50" s="231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83" t="s">
        <v>54</v>
      </c>
      <c r="B52" s="84"/>
      <c r="C52" s="88">
        <f>'7a'!C63</f>
        <v>0</v>
      </c>
      <c r="D52" s="48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50:H50"/>
    <mergeCell ref="C4:I4"/>
    <mergeCell ref="F12:K12"/>
    <mergeCell ref="A9:F9"/>
    <mergeCell ref="J9:M9"/>
    <mergeCell ref="D8:L8"/>
    <mergeCell ref="A41:K41"/>
    <mergeCell ref="C44:H44"/>
    <mergeCell ref="C45:H45"/>
    <mergeCell ref="C49:H49"/>
  </mergeCells>
  <conditionalFormatting sqref="I15:J40 A15:G40">
    <cfRule type="cellIs" dxfId="20" priority="27" operator="equal">
      <formula>0</formula>
    </cfRule>
  </conditionalFormatting>
  <conditionalFormatting sqref="N9:O9 H14:H40 K14:P40">
    <cfRule type="cellIs" dxfId="19" priority="26" operator="equal">
      <formula>0</formula>
    </cfRule>
  </conditionalFormatting>
  <conditionalFormatting sqref="A9:F9">
    <cfRule type="containsText" dxfId="18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" priority="23" operator="equal">
      <formula>0</formula>
    </cfRule>
  </conditionalFormatting>
  <conditionalFormatting sqref="O10">
    <cfRule type="cellIs" dxfId="16" priority="22" operator="equal">
      <formula>"20__. gada __. _________"</formula>
    </cfRule>
  </conditionalFormatting>
  <conditionalFormatting sqref="A41:K41">
    <cfRule type="containsText" dxfId="15" priority="21" operator="containsText" text="Tiešās izmaksas kopā, t. sk. darba devēja sociālais nodoklis __.__% ">
      <formula>NOT(ISERROR(SEARCH("Tiešās izmaksas kopā, t. sk. darba devēja sociālais nodoklis __.__% ",A41)))</formula>
    </cfRule>
  </conditionalFormatting>
  <conditionalFormatting sqref="L41:P41">
    <cfRule type="cellIs" dxfId="14" priority="16" operator="equal">
      <formula>0</formula>
    </cfRule>
  </conditionalFormatting>
  <conditionalFormatting sqref="C4:I4">
    <cfRule type="cellIs" dxfId="13" priority="15" operator="equal">
      <formula>0</formula>
    </cfRule>
  </conditionalFormatting>
  <conditionalFormatting sqref="D5:L8">
    <cfRule type="cellIs" dxfId="12" priority="11" operator="equal">
      <formula>0</formula>
    </cfRule>
  </conditionalFormatting>
  <conditionalFormatting sqref="A14:B14 D14:G14">
    <cfRule type="cellIs" dxfId="11" priority="10" operator="equal">
      <formula>0</formula>
    </cfRule>
  </conditionalFormatting>
  <conditionalFormatting sqref="C14">
    <cfRule type="cellIs" dxfId="10" priority="9" operator="equal">
      <formula>0</formula>
    </cfRule>
  </conditionalFormatting>
  <conditionalFormatting sqref="I14:J14">
    <cfRule type="cellIs" dxfId="9" priority="8" operator="equal">
      <formula>0</formula>
    </cfRule>
  </conditionalFormatting>
  <conditionalFormatting sqref="P10">
    <cfRule type="cellIs" dxfId="8" priority="7" operator="equal">
      <formula>"20__. gada __. _________"</formula>
    </cfRule>
  </conditionalFormatting>
  <conditionalFormatting sqref="C49:H49">
    <cfRule type="cellIs" dxfId="7" priority="4" operator="equal">
      <formula>0</formula>
    </cfRule>
  </conditionalFormatting>
  <conditionalFormatting sqref="C44:H44">
    <cfRule type="cellIs" dxfId="6" priority="3" operator="equal">
      <formula>0</formula>
    </cfRule>
  </conditionalFormatting>
  <conditionalFormatting sqref="C49:H49 C52 C44:H44">
    <cfRule type="cellIs" dxfId="5" priority="2" operator="equal">
      <formula>0</formula>
    </cfRule>
  </conditionalFormatting>
  <conditionalFormatting sqref="D1">
    <cfRule type="cellIs" dxfId="4" priority="1" operator="equal">
      <formula>0</formula>
    </cfRule>
  </conditionalFormatting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______________",A47)))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_________________________________",A52)))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2021-05-06T08:02:52Z</cp:lastPrinted>
  <dcterms:created xsi:type="dcterms:W3CDTF">2019-03-11T11:42:22Z</dcterms:created>
  <dcterms:modified xsi:type="dcterms:W3CDTF">2021-05-06T08:12:44Z</dcterms:modified>
</cp:coreProperties>
</file>