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Mātera 23-25\Iepirkums\"/>
    </mc:Choice>
  </mc:AlternateContent>
  <xr:revisionPtr revIDLastSave="0" documentId="8_{A8058135-0710-4E2C-A092-D5EBF48734D7}" xr6:coauthVersionLast="47" xr6:coauthVersionMax="47" xr10:uidLastSave="{00000000-0000-0000-0000-000000000000}"/>
  <bookViews>
    <workbookView xWindow="-108" yWindow="-108" windowWidth="23256" windowHeight="12576" tabRatio="846" activeTab="2" xr2:uid="{00000000-000D-0000-FFFF-FFFF00000000}"/>
  </bookViews>
  <sheets>
    <sheet name="Kopt a" sheetId="1" r:id="rId1"/>
    <sheet name="Kops a" sheetId="2" r:id="rId2"/>
    <sheet name="1a" sheetId="3" r:id="rId3"/>
    <sheet name="2a" sheetId="4" r:id="rId4"/>
    <sheet name="3a" sheetId="5" r:id="rId5"/>
    <sheet name="4a" sheetId="6" r:id="rId6"/>
    <sheet name="5a" sheetId="7" r:id="rId7"/>
    <sheet name="6a" sheetId="8" r:id="rId8"/>
    <sheet name="7a" sheetId="9" r:id="rId9"/>
    <sheet name="8a" sheetId="10" r:id="rId10"/>
    <sheet name="9a" sheetId="15" r:id="rId11"/>
    <sheet name="10a" sheetId="11" r:id="rId12"/>
    <sheet name="11a" sheetId="12" r:id="rId13"/>
    <sheet name="12a" sheetId="13" r:id="rId14"/>
    <sheet name="13a" sheetId="14" r:id="rId15"/>
  </sheets>
  <definedNames>
    <definedName name="_xlnm.Print_Area" localSheetId="11">'10a'!$A$1:$P$45</definedName>
    <definedName name="_xlnm.Print_Area" localSheetId="6">'5a'!$A$1:$P$271</definedName>
    <definedName name="_xlnm.Print_Area" localSheetId="8">'7a'!$A$1:$P$134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1" i="7" l="1"/>
  <c r="M241" i="7" s="1"/>
  <c r="N259" i="7"/>
  <c r="L259" i="7"/>
  <c r="H259" i="7"/>
  <c r="O259" i="7" s="1"/>
  <c r="K258" i="7"/>
  <c r="K257" i="7"/>
  <c r="H256" i="7"/>
  <c r="H255" i="7"/>
  <c r="E255" i="7"/>
  <c r="N254" i="7"/>
  <c r="L254" i="7"/>
  <c r="H254" i="7"/>
  <c r="O254" i="7" s="1"/>
  <c r="N253" i="7"/>
  <c r="L253" i="7"/>
  <c r="H253" i="7"/>
  <c r="N251" i="7"/>
  <c r="L251" i="7"/>
  <c r="H251" i="7"/>
  <c r="K250" i="7"/>
  <c r="E250" i="7"/>
  <c r="N250" i="7" s="1"/>
  <c r="K249" i="7"/>
  <c r="E249" i="7"/>
  <c r="N248" i="7"/>
  <c r="L248" i="7"/>
  <c r="H248" i="7"/>
  <c r="M248" i="7" s="1"/>
  <c r="K247" i="7"/>
  <c r="E247" i="7"/>
  <c r="N247" i="7" s="1"/>
  <c r="K246" i="7"/>
  <c r="E246" i="7"/>
  <c r="M246" i="7" s="1"/>
  <c r="K245" i="7"/>
  <c r="E245" i="7"/>
  <c r="L245" i="7" s="1"/>
  <c r="N244" i="7"/>
  <c r="L244" i="7"/>
  <c r="H244" i="7"/>
  <c r="K243" i="7"/>
  <c r="E243" i="7"/>
  <c r="K242" i="7"/>
  <c r="E242" i="7"/>
  <c r="K241" i="7"/>
  <c r="O240" i="7"/>
  <c r="N240" i="7"/>
  <c r="L240" i="7"/>
  <c r="H240" i="7"/>
  <c r="K240" i="7" s="1"/>
  <c r="H239" i="7"/>
  <c r="E239" i="7"/>
  <c r="O238" i="7"/>
  <c r="N238" i="7"/>
  <c r="L238" i="7"/>
  <c r="H238" i="7"/>
  <c r="K238" i="7" s="1"/>
  <c r="N237" i="7"/>
  <c r="L237" i="7"/>
  <c r="H237" i="7"/>
  <c r="M237" i="7" s="1"/>
  <c r="N235" i="7"/>
  <c r="L235" i="7"/>
  <c r="H235" i="7"/>
  <c r="M235" i="7" s="1"/>
  <c r="N233" i="7"/>
  <c r="L233" i="7"/>
  <c r="H233" i="7"/>
  <c r="K232" i="7"/>
  <c r="K231" i="7"/>
  <c r="H230" i="7"/>
  <c r="K230" i="7" s="1"/>
  <c r="H229" i="7"/>
  <c r="K229" i="7" s="1"/>
  <c r="E229" i="7"/>
  <c r="N228" i="7"/>
  <c r="L228" i="7"/>
  <c r="O228" i="7"/>
  <c r="H228" i="7"/>
  <c r="M228" i="7" s="1"/>
  <c r="N227" i="7"/>
  <c r="L227" i="7"/>
  <c r="O227" i="7"/>
  <c r="H227" i="7"/>
  <c r="M227" i="7" s="1"/>
  <c r="N225" i="7"/>
  <c r="L225" i="7"/>
  <c r="O225" i="7"/>
  <c r="H225" i="7"/>
  <c r="M225" i="7" s="1"/>
  <c r="K224" i="7"/>
  <c r="E224" i="7"/>
  <c r="O224" i="7" s="1"/>
  <c r="K223" i="7"/>
  <c r="E223" i="7"/>
  <c r="N223" i="7" s="1"/>
  <c r="N222" i="7"/>
  <c r="L222" i="7"/>
  <c r="H222" i="7"/>
  <c r="K221" i="7"/>
  <c r="E221" i="7"/>
  <c r="K220" i="7"/>
  <c r="E220" i="7"/>
  <c r="M220" i="7" s="1"/>
  <c r="K219" i="7"/>
  <c r="E219" i="7"/>
  <c r="L219" i="7" s="1"/>
  <c r="N218" i="7"/>
  <c r="L218" i="7"/>
  <c r="H218" i="7"/>
  <c r="O218" i="7" s="1"/>
  <c r="K217" i="7"/>
  <c r="E217" i="7"/>
  <c r="O217" i="7" s="1"/>
  <c r="K216" i="7"/>
  <c r="E216" i="7"/>
  <c r="K215" i="7"/>
  <c r="E215" i="7"/>
  <c r="M215" i="7" s="1"/>
  <c r="O214" i="7"/>
  <c r="N214" i="7"/>
  <c r="L214" i="7"/>
  <c r="H214" i="7"/>
  <c r="H213" i="7"/>
  <c r="E213" i="7"/>
  <c r="O212" i="7"/>
  <c r="N212" i="7"/>
  <c r="L212" i="7"/>
  <c r="H212" i="7"/>
  <c r="N211" i="7"/>
  <c r="L211" i="7"/>
  <c r="H211" i="7"/>
  <c r="O211" i="7" s="1"/>
  <c r="N209" i="7"/>
  <c r="L209" i="7"/>
  <c r="H209" i="7"/>
  <c r="O209" i="7" s="1"/>
  <c r="E191" i="7"/>
  <c r="N207" i="7"/>
  <c r="L207" i="7"/>
  <c r="H207" i="7"/>
  <c r="K206" i="7"/>
  <c r="K205" i="7"/>
  <c r="H204" i="7"/>
  <c r="H203" i="7"/>
  <c r="K203" i="7" s="1"/>
  <c r="N202" i="7"/>
  <c r="L202" i="7"/>
  <c r="H202" i="7"/>
  <c r="O202" i="7" s="1"/>
  <c r="H201" i="7"/>
  <c r="N199" i="7"/>
  <c r="L199" i="7"/>
  <c r="H199" i="7"/>
  <c r="K198" i="7"/>
  <c r="E198" i="7"/>
  <c r="L198" i="7" s="1"/>
  <c r="K197" i="7"/>
  <c r="E197" i="7"/>
  <c r="O197" i="7" s="1"/>
  <c r="N196" i="7"/>
  <c r="L196" i="7"/>
  <c r="H196" i="7"/>
  <c r="K195" i="7"/>
  <c r="E195" i="7"/>
  <c r="N195" i="7" s="1"/>
  <c r="K194" i="7"/>
  <c r="E194" i="7"/>
  <c r="N194" i="7" s="1"/>
  <c r="K193" i="7"/>
  <c r="E193" i="7"/>
  <c r="M193" i="7" s="1"/>
  <c r="N192" i="7"/>
  <c r="L192" i="7"/>
  <c r="H192" i="7"/>
  <c r="K191" i="7"/>
  <c r="K190" i="7"/>
  <c r="K189" i="7"/>
  <c r="H188" i="7"/>
  <c r="K188" i="7" s="1"/>
  <c r="E190" i="7"/>
  <c r="H187" i="7"/>
  <c r="E187" i="7"/>
  <c r="L187" i="7" s="1"/>
  <c r="N186" i="7"/>
  <c r="H186" i="7"/>
  <c r="K186" i="7" s="1"/>
  <c r="N185" i="7"/>
  <c r="L185" i="7"/>
  <c r="H185" i="7"/>
  <c r="M185" i="7" s="1"/>
  <c r="N183" i="7"/>
  <c r="L183" i="7"/>
  <c r="H183" i="7"/>
  <c r="L157" i="7"/>
  <c r="N157" i="7"/>
  <c r="L159" i="7"/>
  <c r="N159" i="7"/>
  <c r="L166" i="7"/>
  <c r="N166" i="7"/>
  <c r="L170" i="7"/>
  <c r="N170" i="7"/>
  <c r="L173" i="7"/>
  <c r="N173" i="7"/>
  <c r="L176" i="7"/>
  <c r="N176" i="7"/>
  <c r="L181" i="7"/>
  <c r="N181" i="7"/>
  <c r="L155" i="7"/>
  <c r="N155" i="7"/>
  <c r="E175" i="7"/>
  <c r="N175" i="7" s="1"/>
  <c r="H181" i="7"/>
  <c r="M181" i="7" s="1"/>
  <c r="K180" i="7"/>
  <c r="K179" i="7"/>
  <c r="H178" i="7"/>
  <c r="H177" i="7"/>
  <c r="K177" i="7" s="1"/>
  <c r="H176" i="7"/>
  <c r="M176" i="7" s="1"/>
  <c r="H175" i="7"/>
  <c r="K212" i="7" l="1"/>
  <c r="M212" i="7"/>
  <c r="K214" i="7"/>
  <c r="M214" i="7"/>
  <c r="N216" i="7"/>
  <c r="M216" i="7"/>
  <c r="N221" i="7"/>
  <c r="O221" i="7"/>
  <c r="N242" i="7"/>
  <c r="O242" i="7"/>
  <c r="N243" i="7"/>
  <c r="M243" i="7"/>
  <c r="M249" i="7"/>
  <c r="N249" i="7"/>
  <c r="M240" i="7"/>
  <c r="K256" i="7"/>
  <c r="O237" i="7"/>
  <c r="P237" i="7" s="1"/>
  <c r="O176" i="7"/>
  <c r="P176" i="7" s="1"/>
  <c r="O181" i="7"/>
  <c r="M175" i="7"/>
  <c r="K213" i="7"/>
  <c r="O248" i="7"/>
  <c r="P248" i="7" s="1"/>
  <c r="K218" i="7"/>
  <c r="O229" i="7"/>
  <c r="O219" i="7"/>
  <c r="L224" i="7"/>
  <c r="O235" i="7"/>
  <c r="P235" i="7" s="1"/>
  <c r="M238" i="7"/>
  <c r="P238" i="7" s="1"/>
  <c r="L247" i="7"/>
  <c r="K248" i="7"/>
  <c r="E177" i="7"/>
  <c r="L217" i="7"/>
  <c r="M221" i="7"/>
  <c r="O223" i="7"/>
  <c r="L242" i="7"/>
  <c r="L243" i="7"/>
  <c r="O247" i="7"/>
  <c r="M254" i="7"/>
  <c r="P254" i="7" s="1"/>
  <c r="L249" i="7"/>
  <c r="L250" i="7"/>
  <c r="O249" i="7"/>
  <c r="M250" i="7"/>
  <c r="O250" i="7"/>
  <c r="M245" i="7"/>
  <c r="P240" i="7"/>
  <c r="O243" i="7"/>
  <c r="P243" i="7" s="1"/>
  <c r="P249" i="7"/>
  <c r="L239" i="7"/>
  <c r="N241" i="7"/>
  <c r="N246" i="7"/>
  <c r="L255" i="7"/>
  <c r="M259" i="7"/>
  <c r="P259" i="7" s="1"/>
  <c r="M239" i="7"/>
  <c r="O241" i="7"/>
  <c r="M251" i="7"/>
  <c r="E256" i="7"/>
  <c r="O239" i="7"/>
  <c r="N239" i="7"/>
  <c r="L241" i="7"/>
  <c r="M242" i="7"/>
  <c r="P242" i="7" s="1"/>
  <c r="O244" i="7"/>
  <c r="O245" i="7"/>
  <c r="L246" i="7"/>
  <c r="M247" i="7"/>
  <c r="P247" i="7" s="1"/>
  <c r="O251" i="7"/>
  <c r="O253" i="7"/>
  <c r="K255" i="7"/>
  <c r="N255" i="7"/>
  <c r="K259" i="7"/>
  <c r="M244" i="7"/>
  <c r="N245" i="7"/>
  <c r="O246" i="7"/>
  <c r="M253" i="7"/>
  <c r="M255" i="7"/>
  <c r="P228" i="7"/>
  <c r="M219" i="7"/>
  <c r="P221" i="7"/>
  <c r="L216" i="7"/>
  <c r="O216" i="7"/>
  <c r="P216" i="7" s="1"/>
  <c r="P214" i="7"/>
  <c r="P212" i="7"/>
  <c r="P227" i="7"/>
  <c r="O222" i="7"/>
  <c r="K222" i="7"/>
  <c r="P225" i="7"/>
  <c r="K209" i="7"/>
  <c r="N220" i="7"/>
  <c r="L229" i="7"/>
  <c r="M233" i="7"/>
  <c r="M211" i="7"/>
  <c r="P211" i="7" s="1"/>
  <c r="M213" i="7"/>
  <c r="O215" i="7"/>
  <c r="M217" i="7"/>
  <c r="M218" i="7"/>
  <c r="P218" i="7" s="1"/>
  <c r="N219" i="7"/>
  <c r="O220" i="7"/>
  <c r="L221" i="7"/>
  <c r="L223" i="7"/>
  <c r="M224" i="7"/>
  <c r="M229" i="7"/>
  <c r="E230" i="7"/>
  <c r="O233" i="7"/>
  <c r="L213" i="7"/>
  <c r="N215" i="7"/>
  <c r="N213" i="7"/>
  <c r="N217" i="7"/>
  <c r="P217" i="7" s="1"/>
  <c r="M223" i="7"/>
  <c r="N224" i="7"/>
  <c r="N229" i="7"/>
  <c r="M209" i="7"/>
  <c r="P209" i="7" s="1"/>
  <c r="L215" i="7"/>
  <c r="L220" i="7"/>
  <c r="M222" i="7"/>
  <c r="K225" i="7"/>
  <c r="K227" i="7"/>
  <c r="L195" i="7"/>
  <c r="M186" i="7"/>
  <c r="M198" i="7"/>
  <c r="M202" i="7"/>
  <c r="P202" i="7" s="1"/>
  <c r="K204" i="7"/>
  <c r="L177" i="7"/>
  <c r="L175" i="7"/>
  <c r="O194" i="7"/>
  <c r="M195" i="7"/>
  <c r="L197" i="7"/>
  <c r="O177" i="7"/>
  <c r="O195" i="7"/>
  <c r="K178" i="7"/>
  <c r="K181" i="7"/>
  <c r="E178" i="7"/>
  <c r="O196" i="7"/>
  <c r="K196" i="7"/>
  <c r="N190" i="7"/>
  <c r="M190" i="7"/>
  <c r="L190" i="7"/>
  <c r="O190" i="7"/>
  <c r="M183" i="7"/>
  <c r="M187" i="7"/>
  <c r="M188" i="7"/>
  <c r="E189" i="7"/>
  <c r="O183" i="7"/>
  <c r="P183" i="7" s="1"/>
  <c r="O185" i="7"/>
  <c r="P185" i="7" s="1"/>
  <c r="O186" i="7"/>
  <c r="K187" i="7"/>
  <c r="N187" i="7"/>
  <c r="N188" i="7"/>
  <c r="O192" i="7"/>
  <c r="O193" i="7"/>
  <c r="L194" i="7"/>
  <c r="M196" i="7"/>
  <c r="M197" i="7"/>
  <c r="N198" i="7"/>
  <c r="O199" i="7"/>
  <c r="M201" i="7"/>
  <c r="O207" i="7"/>
  <c r="M192" i="7"/>
  <c r="N193" i="7"/>
  <c r="M199" i="7"/>
  <c r="L201" i="7"/>
  <c r="E203" i="7"/>
  <c r="M207" i="7"/>
  <c r="L186" i="7"/>
  <c r="O188" i="7"/>
  <c r="L193" i="7"/>
  <c r="M194" i="7"/>
  <c r="N197" i="7"/>
  <c r="O198" i="7"/>
  <c r="O201" i="7"/>
  <c r="N201" i="7"/>
  <c r="L188" i="7"/>
  <c r="P181" i="7"/>
  <c r="O175" i="7"/>
  <c r="P223" i="7" l="1"/>
  <c r="O213" i="7"/>
  <c r="P213" i="7" s="1"/>
  <c r="P233" i="7"/>
  <c r="P175" i="7"/>
  <c r="P251" i="7"/>
  <c r="P250" i="7"/>
  <c r="P253" i="7"/>
  <c r="K235" i="7"/>
  <c r="P229" i="7"/>
  <c r="N177" i="7"/>
  <c r="M177" i="7"/>
  <c r="P245" i="7"/>
  <c r="P241" i="7"/>
  <c r="P239" i="7"/>
  <c r="P244" i="7"/>
  <c r="K244" i="7"/>
  <c r="P246" i="7"/>
  <c r="N256" i="7"/>
  <c r="E257" i="7"/>
  <c r="M256" i="7"/>
  <c r="E258" i="7"/>
  <c r="L256" i="7"/>
  <c r="O256" i="7"/>
  <c r="K239" i="7"/>
  <c r="O255" i="7"/>
  <c r="P255" i="7" s="1"/>
  <c r="K253" i="7"/>
  <c r="K251" i="7"/>
  <c r="P186" i="7"/>
  <c r="P195" i="7"/>
  <c r="P224" i="7"/>
  <c r="P219" i="7"/>
  <c r="N230" i="7"/>
  <c r="E231" i="7"/>
  <c r="M230" i="7"/>
  <c r="E232" i="7"/>
  <c r="L230" i="7"/>
  <c r="O230" i="7"/>
  <c r="P220" i="7"/>
  <c r="P215" i="7"/>
  <c r="P222" i="7"/>
  <c r="K233" i="7"/>
  <c r="P197" i="7"/>
  <c r="K201" i="7"/>
  <c r="P207" i="7"/>
  <c r="O187" i="7"/>
  <c r="P194" i="7"/>
  <c r="P201" i="7"/>
  <c r="P196" i="7"/>
  <c r="K175" i="7"/>
  <c r="P188" i="7"/>
  <c r="P193" i="7"/>
  <c r="N178" i="7"/>
  <c r="M178" i="7"/>
  <c r="O178" i="7"/>
  <c r="E179" i="7"/>
  <c r="L178" i="7"/>
  <c r="E180" i="7"/>
  <c r="P190" i="7"/>
  <c r="P187" i="7"/>
  <c r="P192" i="7"/>
  <c r="K192" i="7"/>
  <c r="K199" i="7"/>
  <c r="K207" i="7"/>
  <c r="O203" i="7"/>
  <c r="N203" i="7"/>
  <c r="L203" i="7"/>
  <c r="E204" i="7"/>
  <c r="M203" i="7"/>
  <c r="M189" i="7"/>
  <c r="N189" i="7"/>
  <c r="L189" i="7"/>
  <c r="O189" i="7"/>
  <c r="P198" i="7"/>
  <c r="O191" i="7"/>
  <c r="L191" i="7"/>
  <c r="N191" i="7"/>
  <c r="M191" i="7"/>
  <c r="P199" i="7"/>
  <c r="K183" i="7"/>
  <c r="H173" i="7"/>
  <c r="M173" i="7" s="1"/>
  <c r="K172" i="7"/>
  <c r="E172" i="7"/>
  <c r="K171" i="7"/>
  <c r="E171" i="7"/>
  <c r="H170" i="7"/>
  <c r="M170" i="7" s="1"/>
  <c r="K169" i="7"/>
  <c r="K168" i="7"/>
  <c r="K167" i="7"/>
  <c r="H166" i="7"/>
  <c r="M166" i="7" s="1"/>
  <c r="E168" i="7"/>
  <c r="H162" i="7"/>
  <c r="K162" i="7" s="1"/>
  <c r="K165" i="7"/>
  <c r="K164" i="7"/>
  <c r="K163" i="7"/>
  <c r="E162" i="7"/>
  <c r="E161" i="7"/>
  <c r="E160" i="7"/>
  <c r="H161" i="7"/>
  <c r="K161" i="7" s="1"/>
  <c r="H160" i="7"/>
  <c r="K160" i="7" s="1"/>
  <c r="H159" i="7"/>
  <c r="H157" i="7"/>
  <c r="M157" i="7" s="1"/>
  <c r="H155" i="7"/>
  <c r="M155" i="7" s="1"/>
  <c r="N154" i="7"/>
  <c r="L154" i="7"/>
  <c r="H154" i="7"/>
  <c r="P177" i="7" l="1"/>
  <c r="L258" i="7"/>
  <c r="O258" i="7"/>
  <c r="N258" i="7"/>
  <c r="M258" i="7"/>
  <c r="P256" i="7"/>
  <c r="O257" i="7"/>
  <c r="N257" i="7"/>
  <c r="M257" i="7"/>
  <c r="L257" i="7"/>
  <c r="L232" i="7"/>
  <c r="O232" i="7"/>
  <c r="N232" i="7"/>
  <c r="M232" i="7"/>
  <c r="P230" i="7"/>
  <c r="O231" i="7"/>
  <c r="N231" i="7"/>
  <c r="M231" i="7"/>
  <c r="L231" i="7"/>
  <c r="K166" i="7"/>
  <c r="E163" i="7"/>
  <c r="N162" i="7"/>
  <c r="O162" i="7"/>
  <c r="L162" i="7"/>
  <c r="M162" i="7"/>
  <c r="N160" i="7"/>
  <c r="M160" i="7"/>
  <c r="O160" i="7"/>
  <c r="L160" i="7"/>
  <c r="N168" i="7"/>
  <c r="O168" i="7"/>
  <c r="L168" i="7"/>
  <c r="M168" i="7"/>
  <c r="N179" i="7"/>
  <c r="O179" i="7"/>
  <c r="L179" i="7"/>
  <c r="M179" i="7"/>
  <c r="N180" i="7"/>
  <c r="O180" i="7"/>
  <c r="M180" i="7"/>
  <c r="L180" i="7"/>
  <c r="N171" i="7"/>
  <c r="M171" i="7"/>
  <c r="O171" i="7"/>
  <c r="L171" i="7"/>
  <c r="O159" i="7"/>
  <c r="M159" i="7"/>
  <c r="N161" i="7"/>
  <c r="O161" i="7"/>
  <c r="M161" i="7"/>
  <c r="L161" i="7"/>
  <c r="N172" i="7"/>
  <c r="O172" i="7"/>
  <c r="L172" i="7"/>
  <c r="M172" i="7"/>
  <c r="P178" i="7"/>
  <c r="P189" i="7"/>
  <c r="P203" i="7"/>
  <c r="N204" i="7"/>
  <c r="O204" i="7"/>
  <c r="E205" i="7"/>
  <c r="M204" i="7"/>
  <c r="E206" i="7"/>
  <c r="L204" i="7"/>
  <c r="P191" i="7"/>
  <c r="O170" i="7"/>
  <c r="P170" i="7" s="1"/>
  <c r="E167" i="7"/>
  <c r="E169" i="7"/>
  <c r="E165" i="7"/>
  <c r="E164" i="7"/>
  <c r="M154" i="7"/>
  <c r="O154" i="7"/>
  <c r="O155" i="7"/>
  <c r="P155" i="7" s="1"/>
  <c r="L16" i="14"/>
  <c r="N16" i="14"/>
  <c r="L17" i="14"/>
  <c r="N17" i="14"/>
  <c r="L18" i="14"/>
  <c r="N18" i="14"/>
  <c r="L19" i="14"/>
  <c r="N19" i="14"/>
  <c r="L20" i="14"/>
  <c r="N20" i="14"/>
  <c r="L21" i="14"/>
  <c r="N21" i="14"/>
  <c r="L22" i="14"/>
  <c r="N22" i="14"/>
  <c r="L23" i="14"/>
  <c r="N23" i="14"/>
  <c r="L24" i="14"/>
  <c r="N24" i="14"/>
  <c r="L25" i="14"/>
  <c r="N25" i="14"/>
  <c r="L26" i="14"/>
  <c r="N26" i="14"/>
  <c r="O26" i="14"/>
  <c r="L27" i="14"/>
  <c r="N27" i="14"/>
  <c r="L29" i="14"/>
  <c r="M29" i="14"/>
  <c r="N29" i="14"/>
  <c r="O29" i="14"/>
  <c r="L30" i="14"/>
  <c r="M30" i="14"/>
  <c r="N30" i="14"/>
  <c r="O30" i="14"/>
  <c r="L31" i="14"/>
  <c r="M31" i="14"/>
  <c r="N31" i="14"/>
  <c r="O31" i="14"/>
  <c r="P31" i="14" s="1"/>
  <c r="L32" i="14"/>
  <c r="M32" i="14"/>
  <c r="N32" i="14"/>
  <c r="O32" i="14"/>
  <c r="L33" i="14"/>
  <c r="M33" i="14"/>
  <c r="N33" i="14"/>
  <c r="O33" i="14"/>
  <c r="L34" i="14"/>
  <c r="M34" i="14"/>
  <c r="N34" i="14"/>
  <c r="O34" i="14"/>
  <c r="L35" i="14"/>
  <c r="M35" i="14"/>
  <c r="N35" i="14"/>
  <c r="O35" i="14"/>
  <c r="P35" i="14" s="1"/>
  <c r="L36" i="14"/>
  <c r="M36" i="14"/>
  <c r="N36" i="14"/>
  <c r="O36" i="14"/>
  <c r="L37" i="14"/>
  <c r="M37" i="14"/>
  <c r="N37" i="14"/>
  <c r="O37" i="14"/>
  <c r="L38" i="14"/>
  <c r="M38" i="14"/>
  <c r="N38" i="14"/>
  <c r="O38" i="14"/>
  <c r="L39" i="14"/>
  <c r="M39" i="14"/>
  <c r="N39" i="14"/>
  <c r="O39" i="14"/>
  <c r="P39" i="14" s="1"/>
  <c r="L40" i="14"/>
  <c r="M40" i="14"/>
  <c r="N40" i="14"/>
  <c r="O40" i="14"/>
  <c r="L41" i="14"/>
  <c r="M41" i="14"/>
  <c r="N41" i="14"/>
  <c r="O41" i="14"/>
  <c r="K41" i="14"/>
  <c r="K40" i="14"/>
  <c r="K39" i="14"/>
  <c r="K38" i="14"/>
  <c r="K37" i="14"/>
  <c r="K36" i="14"/>
  <c r="K35" i="14"/>
  <c r="K32" i="14"/>
  <c r="K31" i="14"/>
  <c r="K30" i="14"/>
  <c r="K29" i="14"/>
  <c r="H27" i="14"/>
  <c r="O27" i="14" s="1"/>
  <c r="H26" i="14"/>
  <c r="K26" i="14" s="1"/>
  <c r="H25" i="14"/>
  <c r="M25" i="14" s="1"/>
  <c r="H24" i="14"/>
  <c r="M24" i="14" s="1"/>
  <c r="O23" i="14"/>
  <c r="H23" i="14"/>
  <c r="M23" i="14" s="1"/>
  <c r="H22" i="14"/>
  <c r="K22" i="14" s="1"/>
  <c r="H21" i="14"/>
  <c r="M21" i="14" s="1"/>
  <c r="H20" i="14"/>
  <c r="M20" i="14" s="1"/>
  <c r="H19" i="14"/>
  <c r="H18" i="14"/>
  <c r="M18" i="14" s="1"/>
  <c r="H17" i="14"/>
  <c r="M17" i="14" s="1"/>
  <c r="H16" i="14"/>
  <c r="O16" i="14" s="1"/>
  <c r="H15" i="14"/>
  <c r="K15" i="14" s="1"/>
  <c r="O19" i="14" l="1"/>
  <c r="M19" i="14"/>
  <c r="P23" i="14"/>
  <c r="P41" i="14"/>
  <c r="P37" i="14"/>
  <c r="P33" i="14"/>
  <c r="P29" i="14"/>
  <c r="P40" i="14"/>
  <c r="P38" i="14"/>
  <c r="P36" i="14"/>
  <c r="P34" i="14"/>
  <c r="P32" i="14"/>
  <c r="P30" i="14"/>
  <c r="P19" i="14"/>
  <c r="M16" i="14"/>
  <c r="P16" i="14" s="1"/>
  <c r="O22" i="14"/>
  <c r="M27" i="14"/>
  <c r="P27" i="14" s="1"/>
  <c r="M26" i="14"/>
  <c r="P26" i="14" s="1"/>
  <c r="M22" i="14"/>
  <c r="P231" i="7"/>
  <c r="P232" i="7"/>
  <c r="P172" i="7"/>
  <c r="O166" i="7"/>
  <c r="P166" i="7" s="1"/>
  <c r="P257" i="7"/>
  <c r="P258" i="7"/>
  <c r="P162" i="7"/>
  <c r="K170" i="7"/>
  <c r="P159" i="7"/>
  <c r="N169" i="7"/>
  <c r="O169" i="7"/>
  <c r="M169" i="7"/>
  <c r="L169" i="7"/>
  <c r="N167" i="7"/>
  <c r="M167" i="7"/>
  <c r="O167" i="7"/>
  <c r="L167" i="7"/>
  <c r="P161" i="7"/>
  <c r="N164" i="7"/>
  <c r="M164" i="7"/>
  <c r="O164" i="7"/>
  <c r="L164" i="7"/>
  <c r="K173" i="7"/>
  <c r="O173" i="7"/>
  <c r="P173" i="7" s="1"/>
  <c r="P171" i="7"/>
  <c r="P160" i="7"/>
  <c r="K157" i="7"/>
  <c r="O157" i="7"/>
  <c r="P157" i="7" s="1"/>
  <c r="N165" i="7"/>
  <c r="O165" i="7"/>
  <c r="L165" i="7"/>
  <c r="M165" i="7"/>
  <c r="P180" i="7"/>
  <c r="P179" i="7"/>
  <c r="P168" i="7"/>
  <c r="N163" i="7"/>
  <c r="O163" i="7"/>
  <c r="M163" i="7"/>
  <c r="L163" i="7"/>
  <c r="P204" i="7"/>
  <c r="O205" i="7"/>
  <c r="N205" i="7"/>
  <c r="L205" i="7"/>
  <c r="M205" i="7"/>
  <c r="L206" i="7"/>
  <c r="M206" i="7"/>
  <c r="O206" i="7"/>
  <c r="N206" i="7"/>
  <c r="P154" i="7"/>
  <c r="K154" i="7"/>
  <c r="K155" i="7"/>
  <c r="K23" i="14"/>
  <c r="K16" i="14"/>
  <c r="O18" i="14"/>
  <c r="P18" i="14" s="1"/>
  <c r="K27" i="14"/>
  <c r="L16" i="13"/>
  <c r="N16" i="13"/>
  <c r="L17" i="13"/>
  <c r="N17" i="13"/>
  <c r="L18" i="13"/>
  <c r="N18" i="13"/>
  <c r="L19" i="13"/>
  <c r="N19" i="13"/>
  <c r="L20" i="13"/>
  <c r="N20" i="13"/>
  <c r="L21" i="13"/>
  <c r="N21" i="13"/>
  <c r="L22" i="13"/>
  <c r="N22" i="13"/>
  <c r="L23" i="13"/>
  <c r="N23" i="13"/>
  <c r="L24" i="13"/>
  <c r="N24" i="13"/>
  <c r="L25" i="13"/>
  <c r="N25" i="13"/>
  <c r="L26" i="13"/>
  <c r="N26" i="13"/>
  <c r="L27" i="13"/>
  <c r="N27" i="13"/>
  <c r="L28" i="13"/>
  <c r="N28" i="13"/>
  <c r="L29" i="13"/>
  <c r="N29" i="13"/>
  <c r="L30" i="13"/>
  <c r="N30" i="13"/>
  <c r="L31" i="13"/>
  <c r="N31" i="13"/>
  <c r="O31" i="13"/>
  <c r="L32" i="13"/>
  <c r="N32" i="13"/>
  <c r="L33" i="13"/>
  <c r="N33" i="13"/>
  <c r="L34" i="13"/>
  <c r="N34" i="13"/>
  <c r="L35" i="13"/>
  <c r="N35" i="13"/>
  <c r="L36" i="13"/>
  <c r="N36" i="13"/>
  <c r="L37" i="13"/>
  <c r="N37" i="13"/>
  <c r="L38" i="13"/>
  <c r="N38" i="13"/>
  <c r="L39" i="13"/>
  <c r="N39" i="13"/>
  <c r="L40" i="13"/>
  <c r="N40" i="13"/>
  <c r="L41" i="13"/>
  <c r="N41" i="13"/>
  <c r="L42" i="13"/>
  <c r="N42" i="13"/>
  <c r="L43" i="13"/>
  <c r="N43" i="13"/>
  <c r="O43" i="13"/>
  <c r="L44" i="13"/>
  <c r="N44" i="13"/>
  <c r="L45" i="13"/>
  <c r="N45" i="13"/>
  <c r="L46" i="13"/>
  <c r="N46" i="13"/>
  <c r="O46" i="13"/>
  <c r="L47" i="13"/>
  <c r="N47" i="13"/>
  <c r="O47" i="13"/>
  <c r="L48" i="13"/>
  <c r="N48" i="13"/>
  <c r="L49" i="13"/>
  <c r="N49" i="13"/>
  <c r="L50" i="13"/>
  <c r="N50" i="13"/>
  <c r="L51" i="13"/>
  <c r="N51" i="13"/>
  <c r="L52" i="13"/>
  <c r="N52" i="13"/>
  <c r="L53" i="13"/>
  <c r="N53" i="13"/>
  <c r="L54" i="13"/>
  <c r="N54" i="13"/>
  <c r="L55" i="13"/>
  <c r="N55" i="13"/>
  <c r="L56" i="13"/>
  <c r="N56" i="13"/>
  <c r="L57" i="13"/>
  <c r="N57" i="13"/>
  <c r="L58" i="13"/>
  <c r="N58" i="13"/>
  <c r="O58" i="13"/>
  <c r="L59" i="13"/>
  <c r="N59" i="13"/>
  <c r="L60" i="13"/>
  <c r="N60" i="13"/>
  <c r="O60" i="13"/>
  <c r="L61" i="13"/>
  <c r="N61" i="13"/>
  <c r="L62" i="13"/>
  <c r="N62" i="13"/>
  <c r="O62" i="13"/>
  <c r="L63" i="13"/>
  <c r="N63" i="13"/>
  <c r="L64" i="13"/>
  <c r="N64" i="13"/>
  <c r="L65" i="13"/>
  <c r="N65" i="13"/>
  <c r="L66" i="13"/>
  <c r="N66" i="13"/>
  <c r="L67" i="13"/>
  <c r="N67" i="13"/>
  <c r="L68" i="13"/>
  <c r="N68" i="13"/>
  <c r="L69" i="13"/>
  <c r="N69" i="13"/>
  <c r="L70" i="13"/>
  <c r="N70" i="13"/>
  <c r="L71" i="13"/>
  <c r="N71" i="13"/>
  <c r="L72" i="13"/>
  <c r="N72" i="13"/>
  <c r="O72" i="13"/>
  <c r="L73" i="13"/>
  <c r="N73" i="13"/>
  <c r="L74" i="13"/>
  <c r="N74" i="13"/>
  <c r="L75" i="13"/>
  <c r="N75" i="13"/>
  <c r="L76" i="13"/>
  <c r="N76" i="13"/>
  <c r="L77" i="13"/>
  <c r="N77" i="13"/>
  <c r="L78" i="13"/>
  <c r="N78" i="13"/>
  <c r="L79" i="13"/>
  <c r="N79" i="13"/>
  <c r="L80" i="13"/>
  <c r="M80" i="13"/>
  <c r="N80" i="13"/>
  <c r="O80" i="13"/>
  <c r="P80" i="13" s="1"/>
  <c r="L81" i="13"/>
  <c r="N81" i="13"/>
  <c r="L83" i="13"/>
  <c r="N83" i="13"/>
  <c r="L84" i="13"/>
  <c r="N84" i="13"/>
  <c r="L85" i="13"/>
  <c r="N85" i="13"/>
  <c r="L86" i="13"/>
  <c r="N86" i="13"/>
  <c r="L87" i="13"/>
  <c r="N87" i="13"/>
  <c r="L88" i="13"/>
  <c r="N88" i="13"/>
  <c r="O88" i="13"/>
  <c r="L89" i="13"/>
  <c r="N89" i="13"/>
  <c r="L90" i="13"/>
  <c r="N90" i="13"/>
  <c r="L92" i="13"/>
  <c r="M92" i="13"/>
  <c r="N92" i="13"/>
  <c r="O92" i="13"/>
  <c r="P92" i="13" s="1"/>
  <c r="L93" i="13"/>
  <c r="M93" i="13"/>
  <c r="N93" i="13"/>
  <c r="O93" i="13"/>
  <c r="L94" i="13"/>
  <c r="M94" i="13"/>
  <c r="N94" i="13"/>
  <c r="O94" i="13"/>
  <c r="P94" i="13" s="1"/>
  <c r="L95" i="13"/>
  <c r="M95" i="13"/>
  <c r="N95" i="13"/>
  <c r="O95" i="13"/>
  <c r="P95" i="13" s="1"/>
  <c r="L96" i="13"/>
  <c r="N96" i="13"/>
  <c r="L97" i="13"/>
  <c r="N97" i="13"/>
  <c r="L98" i="13"/>
  <c r="N98" i="13"/>
  <c r="L16" i="12"/>
  <c r="N16" i="12"/>
  <c r="L17" i="12"/>
  <c r="N17" i="12"/>
  <c r="L18" i="12"/>
  <c r="N18" i="12"/>
  <c r="L19" i="12"/>
  <c r="N19" i="12"/>
  <c r="L20" i="12"/>
  <c r="N20" i="12"/>
  <c r="L21" i="12"/>
  <c r="N21" i="12"/>
  <c r="L22" i="12"/>
  <c r="N22" i="12"/>
  <c r="L23" i="12"/>
  <c r="N23" i="12"/>
  <c r="L24" i="12"/>
  <c r="N24" i="12"/>
  <c r="L25" i="12"/>
  <c r="N25" i="12"/>
  <c r="L26" i="12"/>
  <c r="N26" i="12"/>
  <c r="L27" i="12"/>
  <c r="N27" i="12"/>
  <c r="L28" i="12"/>
  <c r="N28" i="12"/>
  <c r="L29" i="12"/>
  <c r="N29" i="12"/>
  <c r="L30" i="12"/>
  <c r="N30" i="12"/>
  <c r="L31" i="12"/>
  <c r="N31" i="12"/>
  <c r="L32" i="12"/>
  <c r="N32" i="12"/>
  <c r="L33" i="12"/>
  <c r="N33" i="12"/>
  <c r="L34" i="12"/>
  <c r="N34" i="12"/>
  <c r="L35" i="12"/>
  <c r="N35" i="12"/>
  <c r="L36" i="12"/>
  <c r="N36" i="12"/>
  <c r="L37" i="12"/>
  <c r="N37" i="12"/>
  <c r="L38" i="12"/>
  <c r="N38" i="12"/>
  <c r="L39" i="12"/>
  <c r="N39" i="12"/>
  <c r="L40" i="12"/>
  <c r="N40" i="12"/>
  <c r="L41" i="12"/>
  <c r="N41" i="12"/>
  <c r="L42" i="12"/>
  <c r="N42" i="12"/>
  <c r="L43" i="12"/>
  <c r="N43" i="12"/>
  <c r="L44" i="12"/>
  <c r="N44" i="12"/>
  <c r="L45" i="12"/>
  <c r="N45" i="12"/>
  <c r="L46" i="12"/>
  <c r="N46" i="12"/>
  <c r="L47" i="12"/>
  <c r="N47" i="12"/>
  <c r="L48" i="12"/>
  <c r="N48" i="12"/>
  <c r="L49" i="12"/>
  <c r="N49" i="12"/>
  <c r="L50" i="12"/>
  <c r="N50" i="12"/>
  <c r="L51" i="12"/>
  <c r="N51" i="12"/>
  <c r="L52" i="12"/>
  <c r="N52" i="12"/>
  <c r="L53" i="12"/>
  <c r="N53" i="12"/>
  <c r="L54" i="12"/>
  <c r="N54" i="12"/>
  <c r="L55" i="12"/>
  <c r="N55" i="12"/>
  <c r="L56" i="12"/>
  <c r="N56" i="12"/>
  <c r="L57" i="12"/>
  <c r="N57" i="12"/>
  <c r="L58" i="12"/>
  <c r="N58" i="12"/>
  <c r="L59" i="12"/>
  <c r="N59" i="12"/>
  <c r="L60" i="12"/>
  <c r="N60" i="12"/>
  <c r="L61" i="12"/>
  <c r="N61" i="12"/>
  <c r="L62" i="12"/>
  <c r="N62" i="12"/>
  <c r="L63" i="12"/>
  <c r="N63" i="12"/>
  <c r="L64" i="12"/>
  <c r="N64" i="12"/>
  <c r="L65" i="12"/>
  <c r="N65" i="12"/>
  <c r="L66" i="12"/>
  <c r="N66" i="12"/>
  <c r="L67" i="12"/>
  <c r="N67" i="12"/>
  <c r="L68" i="12"/>
  <c r="N68" i="12"/>
  <c r="L69" i="12"/>
  <c r="N69" i="12"/>
  <c r="L70" i="12"/>
  <c r="N70" i="12"/>
  <c r="L71" i="12"/>
  <c r="N71" i="12"/>
  <c r="L72" i="12"/>
  <c r="N72" i="12"/>
  <c r="L73" i="12"/>
  <c r="N73" i="12"/>
  <c r="L74" i="12"/>
  <c r="N74" i="12"/>
  <c r="L75" i="12"/>
  <c r="N75" i="12"/>
  <c r="L76" i="12"/>
  <c r="N76" i="12"/>
  <c r="L77" i="12"/>
  <c r="N77" i="12"/>
  <c r="L78" i="12"/>
  <c r="N78" i="12"/>
  <c r="L79" i="12"/>
  <c r="N79" i="12"/>
  <c r="L80" i="12"/>
  <c r="N80" i="12"/>
  <c r="L81" i="12"/>
  <c r="N81" i="12"/>
  <c r="L82" i="12"/>
  <c r="N82" i="12"/>
  <c r="L83" i="12"/>
  <c r="N83" i="12"/>
  <c r="L84" i="12"/>
  <c r="N84" i="12"/>
  <c r="L85" i="12"/>
  <c r="N85" i="12"/>
  <c r="L86" i="12"/>
  <c r="N86" i="12"/>
  <c r="L87" i="12"/>
  <c r="N87" i="12"/>
  <c r="L88" i="12"/>
  <c r="N88" i="12"/>
  <c r="L89" i="12"/>
  <c r="M89" i="12"/>
  <c r="N89" i="12"/>
  <c r="O89" i="12"/>
  <c r="L90" i="12"/>
  <c r="M90" i="12"/>
  <c r="N90" i="12"/>
  <c r="O90" i="12"/>
  <c r="P90" i="12" s="1"/>
  <c r="L91" i="12"/>
  <c r="M91" i="12"/>
  <c r="N91" i="12"/>
  <c r="O91" i="12"/>
  <c r="P91" i="12" s="1"/>
  <c r="L92" i="12"/>
  <c r="M92" i="12"/>
  <c r="N92" i="12"/>
  <c r="O92" i="12"/>
  <c r="L93" i="12"/>
  <c r="M93" i="12"/>
  <c r="N93" i="12"/>
  <c r="O93" i="12"/>
  <c r="L94" i="12"/>
  <c r="M94" i="12"/>
  <c r="N94" i="12"/>
  <c r="O94" i="12"/>
  <c r="L95" i="12"/>
  <c r="N95" i="12"/>
  <c r="L96" i="12"/>
  <c r="N96" i="12"/>
  <c r="L97" i="12"/>
  <c r="N97" i="12"/>
  <c r="L98" i="12"/>
  <c r="N98" i="12"/>
  <c r="L99" i="12"/>
  <c r="N99" i="12"/>
  <c r="L100" i="12"/>
  <c r="N100" i="12"/>
  <c r="L101" i="12"/>
  <c r="N101" i="12"/>
  <c r="L102" i="12"/>
  <c r="N102" i="12"/>
  <c r="H98" i="13"/>
  <c r="M98" i="13" s="1"/>
  <c r="H97" i="13"/>
  <c r="M97" i="13" s="1"/>
  <c r="H96" i="13"/>
  <c r="M96" i="13" s="1"/>
  <c r="K95" i="13"/>
  <c r="K94" i="13"/>
  <c r="K93" i="13"/>
  <c r="K92" i="13"/>
  <c r="H90" i="13"/>
  <c r="M90" i="13" s="1"/>
  <c r="H89" i="13"/>
  <c r="M89" i="13" s="1"/>
  <c r="H88" i="13"/>
  <c r="K88" i="13" s="1"/>
  <c r="H87" i="13"/>
  <c r="H86" i="13"/>
  <c r="M86" i="13" s="1"/>
  <c r="H85" i="13"/>
  <c r="M85" i="13" s="1"/>
  <c r="H84" i="13"/>
  <c r="H83" i="13"/>
  <c r="H81" i="13"/>
  <c r="M81" i="13" s="1"/>
  <c r="K80" i="13"/>
  <c r="H79" i="13"/>
  <c r="M79" i="13" s="1"/>
  <c r="H78" i="13"/>
  <c r="M78" i="13" s="1"/>
  <c r="H77" i="13"/>
  <c r="M77" i="13" s="1"/>
  <c r="H76" i="13"/>
  <c r="M76" i="13" s="1"/>
  <c r="H75" i="13"/>
  <c r="M75" i="13" s="1"/>
  <c r="H74" i="13"/>
  <c r="M74" i="13" s="1"/>
  <c r="H73" i="13"/>
  <c r="M73" i="13" s="1"/>
  <c r="H72" i="13"/>
  <c r="K72" i="13" s="1"/>
  <c r="H71" i="13"/>
  <c r="H70" i="13"/>
  <c r="M70" i="13" s="1"/>
  <c r="H69" i="13"/>
  <c r="M69" i="13" s="1"/>
  <c r="H68" i="13"/>
  <c r="H67" i="13"/>
  <c r="K67" i="13" s="1"/>
  <c r="H66" i="13"/>
  <c r="M66" i="13" s="1"/>
  <c r="H65" i="13"/>
  <c r="M65" i="13" s="1"/>
  <c r="H64" i="13"/>
  <c r="H63" i="13"/>
  <c r="M63" i="13" s="1"/>
  <c r="H62" i="13"/>
  <c r="H61" i="13"/>
  <c r="M61" i="13" s="1"/>
  <c r="H60" i="13"/>
  <c r="K60" i="13" s="1"/>
  <c r="H59" i="13"/>
  <c r="K59" i="13" s="1"/>
  <c r="H58" i="13"/>
  <c r="H57" i="13"/>
  <c r="M57" i="13" s="1"/>
  <c r="H56" i="13"/>
  <c r="M56" i="13" s="1"/>
  <c r="H55" i="13"/>
  <c r="H54" i="13"/>
  <c r="M54" i="13" s="1"/>
  <c r="H53" i="13"/>
  <c r="O53" i="13" s="1"/>
  <c r="H52" i="13"/>
  <c r="M52" i="13" s="1"/>
  <c r="H51" i="13"/>
  <c r="H50" i="13"/>
  <c r="K50" i="13" s="1"/>
  <c r="H49" i="13"/>
  <c r="O49" i="13" s="1"/>
  <c r="H48" i="13"/>
  <c r="M48" i="13" s="1"/>
  <c r="H47" i="13"/>
  <c r="K47" i="13" s="1"/>
  <c r="H46" i="13"/>
  <c r="K46" i="13" s="1"/>
  <c r="H45" i="13"/>
  <c r="O45" i="13" s="1"/>
  <c r="H44" i="13"/>
  <c r="M44" i="13" s="1"/>
  <c r="H43" i="13"/>
  <c r="K43" i="13" s="1"/>
  <c r="H42" i="13"/>
  <c r="K42" i="13" s="1"/>
  <c r="H41" i="13"/>
  <c r="M41" i="13" s="1"/>
  <c r="H40" i="13"/>
  <c r="M40" i="13" s="1"/>
  <c r="H39" i="13"/>
  <c r="H38" i="13"/>
  <c r="H37" i="13"/>
  <c r="M37" i="13" s="1"/>
  <c r="H36" i="13"/>
  <c r="M36" i="13" s="1"/>
  <c r="H35" i="13"/>
  <c r="K35" i="13" s="1"/>
  <c r="H34" i="13"/>
  <c r="K34" i="13" s="1"/>
  <c r="H33" i="13"/>
  <c r="O33" i="13" s="1"/>
  <c r="H32" i="13"/>
  <c r="M32" i="13" s="1"/>
  <c r="H31" i="13"/>
  <c r="K31" i="13" s="1"/>
  <c r="H30" i="13"/>
  <c r="K30" i="13" s="1"/>
  <c r="H29" i="13"/>
  <c r="M29" i="13" s="1"/>
  <c r="H28" i="13"/>
  <c r="M28" i="13" s="1"/>
  <c r="H27" i="13"/>
  <c r="K27" i="13" s="1"/>
  <c r="H26" i="13"/>
  <c r="K26" i="13" s="1"/>
  <c r="H25" i="13"/>
  <c r="O25" i="13" s="1"/>
  <c r="H24" i="13"/>
  <c r="M24" i="13" s="1"/>
  <c r="H23" i="13"/>
  <c r="H22" i="13"/>
  <c r="H21" i="13"/>
  <c r="H20" i="13"/>
  <c r="M20" i="13" s="1"/>
  <c r="H19" i="13"/>
  <c r="K19" i="13" s="1"/>
  <c r="H18" i="13"/>
  <c r="K18" i="13" s="1"/>
  <c r="H17" i="13"/>
  <c r="M17" i="13" s="1"/>
  <c r="H16" i="13"/>
  <c r="M16" i="13" s="1"/>
  <c r="H15" i="13"/>
  <c r="O21" i="13" l="1"/>
  <c r="M21" i="13"/>
  <c r="M22" i="13"/>
  <c r="K22" i="13"/>
  <c r="K23" i="13"/>
  <c r="M23" i="13"/>
  <c r="K39" i="13"/>
  <c r="M39" i="13"/>
  <c r="K51" i="13"/>
  <c r="M51" i="13"/>
  <c r="K55" i="13"/>
  <c r="M55" i="13"/>
  <c r="K64" i="13"/>
  <c r="M64" i="13"/>
  <c r="K68" i="13"/>
  <c r="M68" i="13"/>
  <c r="K71" i="13"/>
  <c r="M71" i="13"/>
  <c r="K84" i="13"/>
  <c r="M84" i="13"/>
  <c r="K87" i="13"/>
  <c r="M87" i="13"/>
  <c r="P93" i="12"/>
  <c r="K24" i="14"/>
  <c r="O24" i="14"/>
  <c r="P24" i="14" s="1"/>
  <c r="K20" i="14"/>
  <c r="O20" i="14"/>
  <c r="P20" i="14" s="1"/>
  <c r="K25" i="14"/>
  <c r="O25" i="14"/>
  <c r="P25" i="14" s="1"/>
  <c r="K17" i="14"/>
  <c r="O17" i="14"/>
  <c r="P17" i="14" s="1"/>
  <c r="P22" i="14"/>
  <c r="K21" i="14"/>
  <c r="O21" i="14"/>
  <c r="P21" i="14" s="1"/>
  <c r="K18" i="14"/>
  <c r="P93" i="13"/>
  <c r="K38" i="13"/>
  <c r="O38" i="13"/>
  <c r="K54" i="13"/>
  <c r="O54" i="13"/>
  <c r="P54" i="13" s="1"/>
  <c r="K83" i="13"/>
  <c r="O83" i="13"/>
  <c r="M38" i="13"/>
  <c r="O59" i="13"/>
  <c r="M50" i="13"/>
  <c r="M49" i="13"/>
  <c r="O42" i="13"/>
  <c r="M35" i="13"/>
  <c r="M34" i="13"/>
  <c r="M33" i="13"/>
  <c r="O27" i="13"/>
  <c r="O26" i="13"/>
  <c r="M19" i="13"/>
  <c r="M18" i="13"/>
  <c r="M53" i="13"/>
  <c r="P49" i="13"/>
  <c r="P33" i="13"/>
  <c r="O30" i="13"/>
  <c r="M83" i="13"/>
  <c r="M67" i="13"/>
  <c r="O87" i="13"/>
  <c r="P87" i="13" s="1"/>
  <c r="O84" i="13"/>
  <c r="P84" i="13" s="1"/>
  <c r="O71" i="13"/>
  <c r="P71" i="13" s="1"/>
  <c r="O68" i="13"/>
  <c r="P68" i="13" s="1"/>
  <c r="M62" i="13"/>
  <c r="P62" i="13" s="1"/>
  <c r="M60" i="13"/>
  <c r="O55" i="13"/>
  <c r="P55" i="13" s="1"/>
  <c r="M47" i="13"/>
  <c r="P47" i="13" s="1"/>
  <c r="M46" i="13"/>
  <c r="M45" i="13"/>
  <c r="P45" i="13" s="1"/>
  <c r="O39" i="13"/>
  <c r="P39" i="13" s="1"/>
  <c r="M31" i="13"/>
  <c r="P31" i="13" s="1"/>
  <c r="M30" i="13"/>
  <c r="O23" i="13"/>
  <c r="P23" i="13" s="1"/>
  <c r="O22" i="13"/>
  <c r="P22" i="13" s="1"/>
  <c r="P60" i="13"/>
  <c r="P46" i="13"/>
  <c r="M88" i="13"/>
  <c r="P88" i="13" s="1"/>
  <c r="M72" i="13"/>
  <c r="P72" i="13" s="1"/>
  <c r="O67" i="13"/>
  <c r="P67" i="13" s="1"/>
  <c r="O64" i="13"/>
  <c r="P64" i="13" s="1"/>
  <c r="M59" i="13"/>
  <c r="M58" i="13"/>
  <c r="P58" i="13" s="1"/>
  <c r="P53" i="13"/>
  <c r="O51" i="13"/>
  <c r="P51" i="13" s="1"/>
  <c r="O50" i="13"/>
  <c r="P50" i="13" s="1"/>
  <c r="M43" i="13"/>
  <c r="P43" i="13" s="1"/>
  <c r="M42" i="13"/>
  <c r="O35" i="13"/>
  <c r="P35" i="13" s="1"/>
  <c r="O34" i="13"/>
  <c r="P34" i="13" s="1"/>
  <c r="M27" i="13"/>
  <c r="M26" i="13"/>
  <c r="M25" i="13"/>
  <c r="P25" i="13" s="1"/>
  <c r="P21" i="13"/>
  <c r="O19" i="13"/>
  <c r="P19" i="13" s="1"/>
  <c r="O18" i="13"/>
  <c r="P18" i="13" s="1"/>
  <c r="P94" i="12"/>
  <c r="P92" i="12"/>
  <c r="P89" i="12"/>
  <c r="P163" i="7"/>
  <c r="P164" i="7"/>
  <c r="P167" i="7"/>
  <c r="P206" i="7"/>
  <c r="P169" i="7"/>
  <c r="P165" i="7"/>
  <c r="P205" i="7"/>
  <c r="K15" i="13"/>
  <c r="K21" i="13"/>
  <c r="K25" i="13"/>
  <c r="K33" i="13"/>
  <c r="O36" i="13"/>
  <c r="P36" i="13" s="1"/>
  <c r="K45" i="13"/>
  <c r="K49" i="13"/>
  <c r="K53" i="13"/>
  <c r="O56" i="13"/>
  <c r="P56" i="13" s="1"/>
  <c r="K58" i="13"/>
  <c r="K62" i="13"/>
  <c r="H102" i="12"/>
  <c r="M102" i="12" s="1"/>
  <c r="H101" i="12"/>
  <c r="H100" i="12"/>
  <c r="H99" i="12"/>
  <c r="M99" i="12" s="1"/>
  <c r="O98" i="12"/>
  <c r="H98" i="12"/>
  <c r="M98" i="12" s="1"/>
  <c r="H97" i="12"/>
  <c r="H96" i="12"/>
  <c r="H95" i="12"/>
  <c r="M95" i="12" s="1"/>
  <c r="K94" i="12"/>
  <c r="K93" i="12"/>
  <c r="K92" i="12"/>
  <c r="K91" i="12"/>
  <c r="K90" i="12"/>
  <c r="K89" i="12"/>
  <c r="H88" i="12"/>
  <c r="M88" i="12" s="1"/>
  <c r="H87" i="12"/>
  <c r="M87" i="12" s="1"/>
  <c r="H86" i="12"/>
  <c r="M86" i="12" s="1"/>
  <c r="H85" i="12"/>
  <c r="H84" i="12"/>
  <c r="M84" i="12" s="1"/>
  <c r="H83" i="12"/>
  <c r="M83" i="12" s="1"/>
  <c r="H82" i="12"/>
  <c r="H81" i="12"/>
  <c r="H80" i="12"/>
  <c r="M80" i="12" s="1"/>
  <c r="H79" i="12"/>
  <c r="M79" i="12" s="1"/>
  <c r="H78" i="12"/>
  <c r="M78" i="12" s="1"/>
  <c r="H77" i="12"/>
  <c r="O76" i="12"/>
  <c r="H76" i="12"/>
  <c r="M76" i="12" s="1"/>
  <c r="H75" i="12"/>
  <c r="M75" i="12" s="1"/>
  <c r="H74" i="12"/>
  <c r="H73" i="12"/>
  <c r="H72" i="12"/>
  <c r="M72" i="12" s="1"/>
  <c r="H71" i="12"/>
  <c r="H70" i="12"/>
  <c r="H69" i="12"/>
  <c r="H68" i="12"/>
  <c r="H67" i="12"/>
  <c r="H66" i="12"/>
  <c r="H65" i="12"/>
  <c r="H64" i="12"/>
  <c r="H63" i="12"/>
  <c r="H62" i="12"/>
  <c r="H61" i="12"/>
  <c r="M61" i="12" s="1"/>
  <c r="H60" i="12"/>
  <c r="M60" i="12" s="1"/>
  <c r="H59" i="12"/>
  <c r="O58" i="12"/>
  <c r="H58" i="12"/>
  <c r="M58" i="12" s="1"/>
  <c r="H57" i="12"/>
  <c r="M57" i="12" s="1"/>
  <c r="H56" i="12"/>
  <c r="H55" i="12"/>
  <c r="H54" i="12"/>
  <c r="M54" i="12" s="1"/>
  <c r="H53" i="12"/>
  <c r="M53" i="12" s="1"/>
  <c r="H52" i="12"/>
  <c r="M52" i="12" s="1"/>
  <c r="H51" i="12"/>
  <c r="O50" i="12"/>
  <c r="H50" i="12"/>
  <c r="M50" i="12" s="1"/>
  <c r="H49" i="12"/>
  <c r="M49" i="12" s="1"/>
  <c r="H48" i="12"/>
  <c r="H47" i="12"/>
  <c r="H46" i="12"/>
  <c r="M46" i="12" s="1"/>
  <c r="H45" i="12"/>
  <c r="M45" i="12" s="1"/>
  <c r="H44" i="12"/>
  <c r="M44" i="12" s="1"/>
  <c r="H43" i="12"/>
  <c r="O42" i="12"/>
  <c r="H42" i="12"/>
  <c r="M42" i="12" s="1"/>
  <c r="H41" i="12"/>
  <c r="M41" i="12" s="1"/>
  <c r="H40" i="12"/>
  <c r="H39" i="12"/>
  <c r="H38" i="12"/>
  <c r="M38" i="12" s="1"/>
  <c r="H37" i="12"/>
  <c r="M37" i="12" s="1"/>
  <c r="H36" i="12"/>
  <c r="M36" i="12" s="1"/>
  <c r="H35" i="12"/>
  <c r="O34" i="12"/>
  <c r="H34" i="12"/>
  <c r="M34" i="12" s="1"/>
  <c r="H33" i="12"/>
  <c r="M33" i="12" s="1"/>
  <c r="H32" i="12"/>
  <c r="H31" i="12"/>
  <c r="H30" i="12"/>
  <c r="M30" i="12" s="1"/>
  <c r="H29" i="12"/>
  <c r="M29" i="12" s="1"/>
  <c r="H28" i="12"/>
  <c r="M28" i="12" s="1"/>
  <c r="H27" i="12"/>
  <c r="O26" i="12"/>
  <c r="H26" i="12"/>
  <c r="M26" i="12" s="1"/>
  <c r="H25" i="12"/>
  <c r="M25" i="12" s="1"/>
  <c r="H24" i="12"/>
  <c r="H23" i="12"/>
  <c r="H22" i="12"/>
  <c r="M22" i="12" s="1"/>
  <c r="H21" i="12"/>
  <c r="M21" i="12" s="1"/>
  <c r="H20" i="12"/>
  <c r="M20" i="12" s="1"/>
  <c r="H19" i="12"/>
  <c r="O18" i="12"/>
  <c r="H18" i="12"/>
  <c r="M18" i="12" s="1"/>
  <c r="H17" i="12"/>
  <c r="M17" i="12" s="1"/>
  <c r="H16" i="12"/>
  <c r="H15" i="12"/>
  <c r="K15" i="12" s="1"/>
  <c r="L22" i="11"/>
  <c r="N22" i="11"/>
  <c r="L23" i="11"/>
  <c r="N23" i="11"/>
  <c r="L24" i="11"/>
  <c r="M24" i="11"/>
  <c r="N24" i="11"/>
  <c r="O24" i="11"/>
  <c r="P24" i="11"/>
  <c r="L25" i="11"/>
  <c r="N25" i="11"/>
  <c r="L30" i="11"/>
  <c r="M30" i="11"/>
  <c r="N30" i="11"/>
  <c r="O30" i="11"/>
  <c r="P30" i="11"/>
  <c r="L31" i="11"/>
  <c r="N31" i="11"/>
  <c r="K33" i="11"/>
  <c r="E33" i="11"/>
  <c r="K32" i="11"/>
  <c r="E32" i="11"/>
  <c r="H31" i="11"/>
  <c r="M31" i="11" s="1"/>
  <c r="E29" i="11"/>
  <c r="K28" i="11"/>
  <c r="E28" i="11"/>
  <c r="K27" i="11"/>
  <c r="E27" i="11"/>
  <c r="K26" i="11"/>
  <c r="E26" i="11"/>
  <c r="O25" i="11"/>
  <c r="H25" i="11"/>
  <c r="M25" i="11" s="1"/>
  <c r="H23" i="11"/>
  <c r="M23" i="11" s="1"/>
  <c r="H22" i="11"/>
  <c r="K21" i="11"/>
  <c r="K20" i="11"/>
  <c r="E20" i="11"/>
  <c r="E19" i="11"/>
  <c r="K18" i="11"/>
  <c r="E18" i="11"/>
  <c r="K17" i="11"/>
  <c r="E17" i="11"/>
  <c r="K16" i="11"/>
  <c r="E16" i="11"/>
  <c r="H15" i="11"/>
  <c r="L22" i="15"/>
  <c r="N22" i="15"/>
  <c r="L28" i="15"/>
  <c r="N28" i="15"/>
  <c r="L34" i="15"/>
  <c r="N34" i="15"/>
  <c r="L36" i="15"/>
  <c r="N36" i="15"/>
  <c r="L37" i="15"/>
  <c r="N37" i="15"/>
  <c r="L42" i="15"/>
  <c r="M42" i="15"/>
  <c r="N42" i="15"/>
  <c r="O42" i="15"/>
  <c r="L43" i="15"/>
  <c r="M43" i="15"/>
  <c r="N43" i="15"/>
  <c r="O43" i="15"/>
  <c r="P43" i="15" s="1"/>
  <c r="L45" i="15"/>
  <c r="N45" i="15"/>
  <c r="L47" i="15"/>
  <c r="N47" i="15"/>
  <c r="L48" i="15"/>
  <c r="N48" i="15"/>
  <c r="H48" i="15"/>
  <c r="M48" i="15" s="1"/>
  <c r="H47" i="15"/>
  <c r="K47" i="15" s="1"/>
  <c r="H45" i="15"/>
  <c r="K45" i="15" s="1"/>
  <c r="K44" i="15"/>
  <c r="E44" i="15"/>
  <c r="K43" i="15"/>
  <c r="K42" i="15"/>
  <c r="K41" i="15"/>
  <c r="K40" i="15"/>
  <c r="E40" i="15"/>
  <c r="K39" i="15"/>
  <c r="E39" i="15"/>
  <c r="K38" i="15"/>
  <c r="E38" i="15"/>
  <c r="H37" i="15"/>
  <c r="K37" i="15" s="1"/>
  <c r="H36" i="15"/>
  <c r="K36" i="15" s="1"/>
  <c r="H34" i="15"/>
  <c r="M34" i="15" s="1"/>
  <c r="K33" i="15"/>
  <c r="E33" i="15"/>
  <c r="K32" i="15"/>
  <c r="K31" i="15"/>
  <c r="E31" i="15"/>
  <c r="K30" i="15"/>
  <c r="E30" i="15"/>
  <c r="K29" i="15"/>
  <c r="E29" i="15"/>
  <c r="H28" i="15"/>
  <c r="M28" i="15" s="1"/>
  <c r="K27" i="15"/>
  <c r="E27" i="15"/>
  <c r="K26" i="15"/>
  <c r="K25" i="15"/>
  <c r="E25" i="15"/>
  <c r="K24" i="15"/>
  <c r="E24" i="15"/>
  <c r="K23" i="15"/>
  <c r="E23" i="15"/>
  <c r="H22" i="15"/>
  <c r="K22" i="15" s="1"/>
  <c r="K20" i="15"/>
  <c r="H19" i="15"/>
  <c r="E19" i="15"/>
  <c r="K18" i="15"/>
  <c r="K17" i="15"/>
  <c r="H16" i="15"/>
  <c r="E16" i="15"/>
  <c r="H15" i="15"/>
  <c r="L16" i="10"/>
  <c r="M16" i="10"/>
  <c r="N16" i="10"/>
  <c r="O16" i="10"/>
  <c r="P16" i="10" s="1"/>
  <c r="L17" i="10"/>
  <c r="N17" i="10"/>
  <c r="O17" i="10"/>
  <c r="L18" i="10"/>
  <c r="N18" i="10"/>
  <c r="O18" i="10"/>
  <c r="L19" i="10"/>
  <c r="N19" i="10"/>
  <c r="L20" i="10"/>
  <c r="N20" i="10"/>
  <c r="O20" i="10"/>
  <c r="L21" i="10"/>
  <c r="N21" i="10"/>
  <c r="L22" i="10"/>
  <c r="N22" i="10"/>
  <c r="L25" i="10"/>
  <c r="N25" i="10"/>
  <c r="O25" i="10"/>
  <c r="L28" i="10"/>
  <c r="N28" i="10"/>
  <c r="L29" i="10"/>
  <c r="M29" i="10"/>
  <c r="N29" i="10"/>
  <c r="O29" i="10"/>
  <c r="L31" i="10"/>
  <c r="N31" i="10"/>
  <c r="L32" i="10"/>
  <c r="N32" i="10"/>
  <c r="L34" i="10"/>
  <c r="N34" i="10"/>
  <c r="L35" i="10"/>
  <c r="M35" i="10"/>
  <c r="N35" i="10"/>
  <c r="O35" i="10"/>
  <c r="P35" i="10"/>
  <c r="L36" i="10"/>
  <c r="N36" i="10"/>
  <c r="O36" i="10"/>
  <c r="L37" i="10"/>
  <c r="N37" i="10"/>
  <c r="O37" i="10"/>
  <c r="L38" i="10"/>
  <c r="N38" i="10"/>
  <c r="L39" i="10"/>
  <c r="N39" i="10"/>
  <c r="O39" i="10"/>
  <c r="L40" i="10"/>
  <c r="N40" i="10"/>
  <c r="L41" i="10"/>
  <c r="N41" i="10"/>
  <c r="L44" i="10"/>
  <c r="N44" i="10"/>
  <c r="L47" i="10"/>
  <c r="N47" i="10"/>
  <c r="L48" i="10"/>
  <c r="M48" i="10"/>
  <c r="N48" i="10"/>
  <c r="O48" i="10"/>
  <c r="L51" i="10"/>
  <c r="N51" i="10"/>
  <c r="L53" i="10"/>
  <c r="N53" i="10"/>
  <c r="L54" i="10"/>
  <c r="N54" i="10"/>
  <c r="L56" i="10"/>
  <c r="N56" i="10"/>
  <c r="H57" i="10"/>
  <c r="E57" i="10"/>
  <c r="H56" i="10"/>
  <c r="M56" i="10" s="1"/>
  <c r="H54" i="10"/>
  <c r="K54" i="10" s="1"/>
  <c r="H53" i="10"/>
  <c r="K53" i="10" s="1"/>
  <c r="H51" i="10"/>
  <c r="H50" i="10"/>
  <c r="K50" i="10" s="1"/>
  <c r="H49" i="10"/>
  <c r="K49" i="10" s="1"/>
  <c r="E49" i="10"/>
  <c r="H47" i="10"/>
  <c r="K46" i="10"/>
  <c r="E46" i="10"/>
  <c r="K45" i="10"/>
  <c r="E45" i="10"/>
  <c r="H44" i="10"/>
  <c r="K43" i="10"/>
  <c r="E43" i="10"/>
  <c r="K42" i="10"/>
  <c r="E42" i="10"/>
  <c r="H41" i="10"/>
  <c r="M41" i="10" s="1"/>
  <c r="H40" i="10"/>
  <c r="M40" i="10" s="1"/>
  <c r="H39" i="10"/>
  <c r="K39" i="10" s="1"/>
  <c r="H38" i="10"/>
  <c r="O38" i="10" s="1"/>
  <c r="H37" i="10"/>
  <c r="K37" i="10" s="1"/>
  <c r="H36" i="10"/>
  <c r="K36" i="10" s="1"/>
  <c r="H34" i="10"/>
  <c r="H32" i="10"/>
  <c r="H31" i="10"/>
  <c r="O31" i="10" s="1"/>
  <c r="H30" i="10"/>
  <c r="K30" i="10" s="1"/>
  <c r="E30" i="10"/>
  <c r="H28" i="10"/>
  <c r="M28" i="10" s="1"/>
  <c r="K27" i="10"/>
  <c r="E27" i="10"/>
  <c r="K26" i="10"/>
  <c r="E26" i="10"/>
  <c r="H25" i="10"/>
  <c r="K25" i="10" s="1"/>
  <c r="K24" i="10"/>
  <c r="E24" i="10"/>
  <c r="K23" i="10"/>
  <c r="E23" i="10"/>
  <c r="H22" i="10"/>
  <c r="M22" i="10" s="1"/>
  <c r="H21" i="10"/>
  <c r="O21" i="10" s="1"/>
  <c r="H20" i="10"/>
  <c r="M20" i="10" s="1"/>
  <c r="H19" i="10"/>
  <c r="H18" i="10"/>
  <c r="H17" i="10"/>
  <c r="H15" i="10"/>
  <c r="K15" i="10" s="1"/>
  <c r="K106" i="9"/>
  <c r="K105" i="9"/>
  <c r="H104" i="9"/>
  <c r="K104" i="9" s="1"/>
  <c r="L27" i="9"/>
  <c r="N27" i="9"/>
  <c r="L28" i="9"/>
  <c r="N28" i="9"/>
  <c r="L29" i="9"/>
  <c r="N29" i="9"/>
  <c r="L30" i="9"/>
  <c r="N30" i="9"/>
  <c r="L31" i="9"/>
  <c r="N31" i="9"/>
  <c r="L32" i="9"/>
  <c r="N32" i="9"/>
  <c r="L33" i="9"/>
  <c r="L34" i="9"/>
  <c r="N34" i="9"/>
  <c r="L36" i="9"/>
  <c r="N36" i="9"/>
  <c r="L37" i="9"/>
  <c r="N37" i="9"/>
  <c r="L38" i="9"/>
  <c r="M38" i="9"/>
  <c r="N38" i="9"/>
  <c r="O38" i="9"/>
  <c r="L39" i="9"/>
  <c r="M39" i="9"/>
  <c r="N39" i="9"/>
  <c r="O39" i="9"/>
  <c r="L40" i="9"/>
  <c r="L42" i="9"/>
  <c r="N42" i="9"/>
  <c r="L45" i="9"/>
  <c r="M45" i="9"/>
  <c r="N45" i="9"/>
  <c r="O45" i="9"/>
  <c r="L46" i="9"/>
  <c r="M46" i="9"/>
  <c r="N46" i="9"/>
  <c r="O46" i="9"/>
  <c r="N47" i="9"/>
  <c r="L55" i="9"/>
  <c r="N55" i="9"/>
  <c r="L56" i="9"/>
  <c r="N56" i="9"/>
  <c r="L65" i="9"/>
  <c r="N65" i="9"/>
  <c r="L66" i="9"/>
  <c r="N66" i="9"/>
  <c r="L73" i="9"/>
  <c r="M73" i="9"/>
  <c r="N73" i="9"/>
  <c r="O73" i="9"/>
  <c r="L78" i="9"/>
  <c r="N78" i="9"/>
  <c r="L79" i="9"/>
  <c r="N79" i="9"/>
  <c r="L82" i="9"/>
  <c r="M82" i="9"/>
  <c r="O82" i="9"/>
  <c r="L88" i="9"/>
  <c r="N88" i="9"/>
  <c r="L92" i="9"/>
  <c r="M92" i="9"/>
  <c r="O92" i="9"/>
  <c r="L98" i="9"/>
  <c r="N98" i="9"/>
  <c r="L110" i="9"/>
  <c r="N110" i="9"/>
  <c r="L111" i="9"/>
  <c r="N111" i="9"/>
  <c r="L112" i="9"/>
  <c r="N112" i="9"/>
  <c r="L113" i="9"/>
  <c r="N113" i="9"/>
  <c r="L121" i="9"/>
  <c r="N121" i="9"/>
  <c r="L122" i="9"/>
  <c r="N122" i="9"/>
  <c r="H122" i="9"/>
  <c r="M122" i="9" s="1"/>
  <c r="H121" i="9"/>
  <c r="K121" i="9" s="1"/>
  <c r="K120" i="9"/>
  <c r="K119" i="9"/>
  <c r="H118" i="9"/>
  <c r="E118" i="9"/>
  <c r="E120" i="9" s="1"/>
  <c r="N120" i="9" s="1"/>
  <c r="K117" i="9"/>
  <c r="E117" i="9"/>
  <c r="L117" i="9" s="1"/>
  <c r="K116" i="9"/>
  <c r="E116" i="9"/>
  <c r="O116" i="9" s="1"/>
  <c r="K115" i="9"/>
  <c r="E115" i="9"/>
  <c r="O115" i="9" s="1"/>
  <c r="K114" i="9"/>
  <c r="E114" i="9"/>
  <c r="M114" i="9" s="1"/>
  <c r="H113" i="9"/>
  <c r="M113" i="9" s="1"/>
  <c r="H112" i="9"/>
  <c r="H111" i="9"/>
  <c r="M111" i="9" s="1"/>
  <c r="H110" i="9"/>
  <c r="M110" i="9" s="1"/>
  <c r="K109" i="9"/>
  <c r="K108" i="9"/>
  <c r="H107" i="9"/>
  <c r="K103" i="9"/>
  <c r="K102" i="9"/>
  <c r="H101" i="9"/>
  <c r="E101" i="9"/>
  <c r="L101" i="9" s="1"/>
  <c r="K100" i="9"/>
  <c r="E100" i="9"/>
  <c r="K99" i="9"/>
  <c r="E99" i="9"/>
  <c r="L99" i="9" s="1"/>
  <c r="H98" i="9"/>
  <c r="M98" i="9" s="1"/>
  <c r="K96" i="9"/>
  <c r="K95" i="9"/>
  <c r="K94" i="9"/>
  <c r="H93" i="9"/>
  <c r="E93" i="9"/>
  <c r="N93" i="9" s="1"/>
  <c r="K91" i="9"/>
  <c r="K90" i="9"/>
  <c r="H89" i="9"/>
  <c r="K89" i="9" s="1"/>
  <c r="E89" i="9"/>
  <c r="H88" i="9"/>
  <c r="M88" i="9" s="1"/>
  <c r="K86" i="9"/>
  <c r="K85" i="9"/>
  <c r="K84" i="9"/>
  <c r="H83" i="9"/>
  <c r="E83" i="9"/>
  <c r="N82" i="9"/>
  <c r="K81" i="9"/>
  <c r="E81" i="9"/>
  <c r="K80" i="9"/>
  <c r="E80" i="9"/>
  <c r="M80" i="9" s="1"/>
  <c r="H79" i="9"/>
  <c r="H78" i="9"/>
  <c r="K76" i="9"/>
  <c r="K75" i="9"/>
  <c r="H74" i="9"/>
  <c r="K74" i="9" s="1"/>
  <c r="K73" i="9"/>
  <c r="K72" i="9"/>
  <c r="K71" i="9"/>
  <c r="K70" i="9"/>
  <c r="H69" i="9"/>
  <c r="E69" i="9"/>
  <c r="K68" i="9"/>
  <c r="E68" i="9"/>
  <c r="L68" i="9" s="1"/>
  <c r="K67" i="9"/>
  <c r="E67" i="9"/>
  <c r="L67" i="9" s="1"/>
  <c r="H66" i="9"/>
  <c r="M66" i="9" s="1"/>
  <c r="H65" i="9"/>
  <c r="M65" i="9" s="1"/>
  <c r="K64" i="9"/>
  <c r="K63" i="9"/>
  <c r="H62" i="9"/>
  <c r="K61" i="9"/>
  <c r="K60" i="9"/>
  <c r="H59" i="9"/>
  <c r="K59" i="9" s="1"/>
  <c r="E59" i="9"/>
  <c r="N59" i="9" s="1"/>
  <c r="K58" i="9"/>
  <c r="E58" i="9"/>
  <c r="K57" i="9"/>
  <c r="E57" i="9"/>
  <c r="H56" i="9"/>
  <c r="H55" i="9"/>
  <c r="M55" i="9" s="1"/>
  <c r="K53" i="9"/>
  <c r="E53" i="9"/>
  <c r="O53" i="9" s="1"/>
  <c r="K52" i="9"/>
  <c r="E52" i="9"/>
  <c r="K51" i="9"/>
  <c r="E51" i="9"/>
  <c r="L51" i="9" s="1"/>
  <c r="K50" i="9"/>
  <c r="E50" i="9"/>
  <c r="K49" i="9"/>
  <c r="E49" i="9"/>
  <c r="K48" i="9"/>
  <c r="E48" i="9"/>
  <c r="L48" i="9" s="1"/>
  <c r="K46" i="9"/>
  <c r="K45" i="9"/>
  <c r="K44" i="9"/>
  <c r="K43" i="9"/>
  <c r="E43" i="9"/>
  <c r="H42" i="9"/>
  <c r="N40" i="9"/>
  <c r="H40" i="9"/>
  <c r="M40" i="9" s="1"/>
  <c r="K39" i="9"/>
  <c r="K38" i="9"/>
  <c r="H37" i="9"/>
  <c r="M37" i="9" s="1"/>
  <c r="H36" i="9"/>
  <c r="M36" i="9" s="1"/>
  <c r="H35" i="9"/>
  <c r="E35" i="9"/>
  <c r="H34" i="9"/>
  <c r="M34" i="9" s="1"/>
  <c r="N33" i="9"/>
  <c r="H33" i="9"/>
  <c r="M33" i="9" s="1"/>
  <c r="H32" i="9"/>
  <c r="M32" i="9" s="1"/>
  <c r="H31" i="9"/>
  <c r="H30" i="9"/>
  <c r="H29" i="9"/>
  <c r="M29" i="9" s="1"/>
  <c r="H28" i="9"/>
  <c r="M28" i="9" s="1"/>
  <c r="H27" i="9"/>
  <c r="K26" i="9"/>
  <c r="K25" i="9"/>
  <c r="H24" i="9"/>
  <c r="K24" i="9" s="1"/>
  <c r="K23" i="9"/>
  <c r="K22" i="9"/>
  <c r="H21" i="9"/>
  <c r="K21" i="9" s="1"/>
  <c r="K20" i="9"/>
  <c r="K19" i="9"/>
  <c r="H18" i="9"/>
  <c r="K18" i="9" s="1"/>
  <c r="E18" i="9"/>
  <c r="K17" i="9"/>
  <c r="E17" i="9"/>
  <c r="L17" i="9" s="1"/>
  <c r="K16" i="9"/>
  <c r="E16" i="9"/>
  <c r="H15" i="9"/>
  <c r="K15" i="9" s="1"/>
  <c r="K105" i="8"/>
  <c r="E105" i="8"/>
  <c r="K104" i="8"/>
  <c r="E104" i="8"/>
  <c r="H103" i="8"/>
  <c r="K102" i="8"/>
  <c r="K101" i="8"/>
  <c r="K100" i="8"/>
  <c r="H99" i="8"/>
  <c r="K98" i="8"/>
  <c r="K97" i="8"/>
  <c r="K96" i="8"/>
  <c r="K95" i="8"/>
  <c r="H94" i="8"/>
  <c r="K93" i="8"/>
  <c r="K92" i="8"/>
  <c r="H91" i="8"/>
  <c r="E91" i="8"/>
  <c r="E94" i="8" s="1"/>
  <c r="H90" i="8"/>
  <c r="E90" i="8"/>
  <c r="H89" i="8"/>
  <c r="H88" i="8"/>
  <c r="E88" i="8"/>
  <c r="K86" i="8"/>
  <c r="E86" i="8"/>
  <c r="K85" i="8"/>
  <c r="E85" i="8"/>
  <c r="H84" i="8"/>
  <c r="K83" i="8"/>
  <c r="K82" i="8"/>
  <c r="K81" i="8"/>
  <c r="K80" i="8"/>
  <c r="K79" i="8"/>
  <c r="H78" i="8"/>
  <c r="K78" i="8" s="1"/>
  <c r="K77" i="8"/>
  <c r="K76" i="8"/>
  <c r="K75" i="8"/>
  <c r="K74" i="8"/>
  <c r="H73" i="8"/>
  <c r="K72" i="8"/>
  <c r="K71" i="8"/>
  <c r="H70" i="8"/>
  <c r="E70" i="8"/>
  <c r="E73" i="8" s="1"/>
  <c r="H69" i="8"/>
  <c r="E69" i="8"/>
  <c r="H68" i="8"/>
  <c r="H67" i="8"/>
  <c r="K67" i="8" s="1"/>
  <c r="K65" i="8"/>
  <c r="E65" i="8"/>
  <c r="K64" i="8"/>
  <c r="E64" i="8"/>
  <c r="H63" i="8"/>
  <c r="K62" i="8"/>
  <c r="K61" i="8"/>
  <c r="K60" i="8"/>
  <c r="H59" i="8"/>
  <c r="K59" i="8" s="1"/>
  <c r="K58" i="8"/>
  <c r="K57" i="8"/>
  <c r="K56" i="8"/>
  <c r="K55" i="8"/>
  <c r="H54" i="8"/>
  <c r="K53" i="8"/>
  <c r="K52" i="8"/>
  <c r="H51" i="8"/>
  <c r="E51" i="8"/>
  <c r="E54" i="8" s="1"/>
  <c r="H50" i="8"/>
  <c r="E50" i="8"/>
  <c r="H49" i="8"/>
  <c r="H48" i="8"/>
  <c r="K48" i="8" s="1"/>
  <c r="E48" i="8"/>
  <c r="K46" i="8"/>
  <c r="E46" i="8"/>
  <c r="K45" i="8"/>
  <c r="E45" i="8"/>
  <c r="H44" i="8"/>
  <c r="K43" i="8"/>
  <c r="K42" i="8"/>
  <c r="K41" i="8"/>
  <c r="K40" i="8"/>
  <c r="K39" i="8"/>
  <c r="H38" i="8"/>
  <c r="K38" i="8" s="1"/>
  <c r="K37" i="8"/>
  <c r="E37" i="8"/>
  <c r="K36" i="8"/>
  <c r="K35" i="8"/>
  <c r="E35" i="8"/>
  <c r="E36" i="8" s="1"/>
  <c r="K34" i="8"/>
  <c r="K33" i="8"/>
  <c r="E33" i="8"/>
  <c r="H32" i="8"/>
  <c r="K31" i="8"/>
  <c r="E31" i="8"/>
  <c r="K30" i="8"/>
  <c r="K29" i="8"/>
  <c r="E29" i="8"/>
  <c r="E30" i="8" s="1"/>
  <c r="K28" i="8"/>
  <c r="K27" i="8"/>
  <c r="E27" i="8"/>
  <c r="H26" i="8"/>
  <c r="K25" i="8"/>
  <c r="K24" i="8"/>
  <c r="K23" i="8"/>
  <c r="K22" i="8"/>
  <c r="H21" i="8"/>
  <c r="K20" i="8"/>
  <c r="K19" i="8"/>
  <c r="H18" i="8"/>
  <c r="E18" i="8"/>
  <c r="E21" i="8" s="1"/>
  <c r="E25" i="8" s="1"/>
  <c r="H17" i="8"/>
  <c r="E17" i="8"/>
  <c r="H16" i="8"/>
  <c r="H15" i="8"/>
  <c r="E15" i="8"/>
  <c r="K17" i="10" l="1"/>
  <c r="M17" i="10"/>
  <c r="M18" i="10"/>
  <c r="P18" i="10" s="1"/>
  <c r="K18" i="10"/>
  <c r="O19" i="10"/>
  <c r="M19" i="10"/>
  <c r="L23" i="10"/>
  <c r="M23" i="10"/>
  <c r="N23" i="10"/>
  <c r="O23" i="10"/>
  <c r="P23" i="10" s="1"/>
  <c r="L24" i="10"/>
  <c r="M24" i="10"/>
  <c r="N24" i="10"/>
  <c r="O24" i="10"/>
  <c r="L26" i="10"/>
  <c r="M26" i="10"/>
  <c r="N26" i="10"/>
  <c r="O26" i="10"/>
  <c r="L27" i="10"/>
  <c r="M27" i="10"/>
  <c r="N27" i="10"/>
  <c r="O27" i="10"/>
  <c r="P27" i="10" s="1"/>
  <c r="L30" i="10"/>
  <c r="M30" i="10"/>
  <c r="N30" i="10"/>
  <c r="O30" i="10"/>
  <c r="O32" i="10"/>
  <c r="M32" i="10"/>
  <c r="K34" i="10"/>
  <c r="M34" i="10"/>
  <c r="L42" i="10"/>
  <c r="M42" i="10"/>
  <c r="N42" i="10"/>
  <c r="O42" i="10"/>
  <c r="L43" i="10"/>
  <c r="M43" i="10"/>
  <c r="N43" i="10"/>
  <c r="O43" i="10"/>
  <c r="P43" i="10" s="1"/>
  <c r="L45" i="10"/>
  <c r="M45" i="10"/>
  <c r="N45" i="10"/>
  <c r="O45" i="10"/>
  <c r="L46" i="10"/>
  <c r="M46" i="10"/>
  <c r="N46" i="10"/>
  <c r="O46" i="10"/>
  <c r="K47" i="10"/>
  <c r="M47" i="10"/>
  <c r="E50" i="10"/>
  <c r="L49" i="10"/>
  <c r="M49" i="10"/>
  <c r="N49" i="10"/>
  <c r="G23" i="2" s="1"/>
  <c r="O49" i="10"/>
  <c r="O51" i="10"/>
  <c r="M51" i="10"/>
  <c r="L57" i="10"/>
  <c r="N57" i="10"/>
  <c r="M57" i="10"/>
  <c r="P29" i="10"/>
  <c r="E17" i="15"/>
  <c r="L16" i="15"/>
  <c r="N16" i="15"/>
  <c r="M16" i="15"/>
  <c r="E20" i="15"/>
  <c r="L19" i="15"/>
  <c r="N19" i="15"/>
  <c r="M19" i="15"/>
  <c r="E26" i="15"/>
  <c r="L23" i="15"/>
  <c r="M23" i="15"/>
  <c r="N23" i="15"/>
  <c r="O23" i="15"/>
  <c r="P23" i="15" s="1"/>
  <c r="L24" i="15"/>
  <c r="M24" i="15"/>
  <c r="N24" i="15"/>
  <c r="O24" i="15"/>
  <c r="L25" i="15"/>
  <c r="M25" i="15"/>
  <c r="N25" i="15"/>
  <c r="O25" i="15"/>
  <c r="L27" i="15"/>
  <c r="M27" i="15"/>
  <c r="N27" i="15"/>
  <c r="O27" i="15"/>
  <c r="P27" i="15" s="1"/>
  <c r="L29" i="15"/>
  <c r="M29" i="15"/>
  <c r="N29" i="15"/>
  <c r="O29" i="15"/>
  <c r="P29" i="15" s="1"/>
  <c r="L30" i="15"/>
  <c r="M30" i="15"/>
  <c r="N30" i="15"/>
  <c r="O30" i="15"/>
  <c r="L31" i="15"/>
  <c r="M31" i="15"/>
  <c r="N31" i="15"/>
  <c r="O31" i="15"/>
  <c r="P31" i="15" s="1"/>
  <c r="L33" i="15"/>
  <c r="M33" i="15"/>
  <c r="N33" i="15"/>
  <c r="O33" i="15"/>
  <c r="E41" i="15"/>
  <c r="L38" i="15"/>
  <c r="M38" i="15"/>
  <c r="N38" i="15"/>
  <c r="O38" i="15"/>
  <c r="L39" i="15"/>
  <c r="M39" i="15"/>
  <c r="N39" i="15"/>
  <c r="O39" i="15"/>
  <c r="P39" i="15" s="1"/>
  <c r="L40" i="15"/>
  <c r="M40" i="15"/>
  <c r="N40" i="15"/>
  <c r="O40" i="15"/>
  <c r="P40" i="15" s="1"/>
  <c r="L44" i="15"/>
  <c r="M44" i="15"/>
  <c r="N44" i="15"/>
  <c r="O44" i="15"/>
  <c r="L16" i="11"/>
  <c r="M16" i="11"/>
  <c r="N16" i="11"/>
  <c r="O16" i="11"/>
  <c r="P16" i="11" s="1"/>
  <c r="L17" i="11"/>
  <c r="M17" i="11"/>
  <c r="N17" i="11"/>
  <c r="O17" i="11"/>
  <c r="P17" i="11" s="1"/>
  <c r="L18" i="11"/>
  <c r="M18" i="11"/>
  <c r="N18" i="11"/>
  <c r="O18" i="11"/>
  <c r="P18" i="11" s="1"/>
  <c r="L19" i="11"/>
  <c r="M19" i="11"/>
  <c r="N19" i="11"/>
  <c r="O19" i="11"/>
  <c r="P19" i="11" s="1"/>
  <c r="E21" i="11"/>
  <c r="L20" i="11"/>
  <c r="M20" i="11"/>
  <c r="N20" i="11"/>
  <c r="O20" i="11"/>
  <c r="P20" i="11" s="1"/>
  <c r="K22" i="11"/>
  <c r="M22" i="11"/>
  <c r="P25" i="11"/>
  <c r="L26" i="11"/>
  <c r="M26" i="11"/>
  <c r="N26" i="11"/>
  <c r="O26" i="11"/>
  <c r="P26" i="11" s="1"/>
  <c r="L27" i="11"/>
  <c r="M27" i="11"/>
  <c r="N27" i="11"/>
  <c r="O27" i="11"/>
  <c r="P27" i="11" s="1"/>
  <c r="L28" i="11"/>
  <c r="M28" i="11"/>
  <c r="N28" i="11"/>
  <c r="O28" i="11"/>
  <c r="P28" i="11" s="1"/>
  <c r="L29" i="11"/>
  <c r="M29" i="11"/>
  <c r="N29" i="11"/>
  <c r="O29" i="11"/>
  <c r="P29" i="11" s="1"/>
  <c r="L32" i="11"/>
  <c r="M32" i="11"/>
  <c r="N32" i="11"/>
  <c r="O32" i="11"/>
  <c r="P32" i="11" s="1"/>
  <c r="L33" i="11"/>
  <c r="M33" i="11"/>
  <c r="N33" i="11"/>
  <c r="O33" i="11"/>
  <c r="P33" i="11" s="1"/>
  <c r="P18" i="12"/>
  <c r="P26" i="12"/>
  <c r="P34" i="12"/>
  <c r="P42" i="12"/>
  <c r="P50" i="12"/>
  <c r="P58" i="12"/>
  <c r="P76" i="12"/>
  <c r="P98" i="12"/>
  <c r="P30" i="13"/>
  <c r="P27" i="13"/>
  <c r="P83" i="13"/>
  <c r="K96" i="13"/>
  <c r="O96" i="13"/>
  <c r="P96" i="13" s="1"/>
  <c r="K79" i="13"/>
  <c r="O79" i="13"/>
  <c r="P79" i="13" s="1"/>
  <c r="K65" i="13"/>
  <c r="O65" i="13"/>
  <c r="P65" i="13" s="1"/>
  <c r="K57" i="13"/>
  <c r="O57" i="13"/>
  <c r="P57" i="13" s="1"/>
  <c r="K40" i="13"/>
  <c r="O40" i="13"/>
  <c r="P40" i="13" s="1"/>
  <c r="K20" i="13"/>
  <c r="O20" i="13"/>
  <c r="P20" i="13" s="1"/>
  <c r="K41" i="13"/>
  <c r="O41" i="13"/>
  <c r="P41" i="13" s="1"/>
  <c r="K89" i="13"/>
  <c r="O89" i="13"/>
  <c r="P89" i="13" s="1"/>
  <c r="K90" i="13"/>
  <c r="O90" i="13"/>
  <c r="P90" i="13" s="1"/>
  <c r="K78" i="13"/>
  <c r="O78" i="13"/>
  <c r="P78" i="13" s="1"/>
  <c r="K74" i="13"/>
  <c r="O74" i="13"/>
  <c r="P74" i="13" s="1"/>
  <c r="K48" i="13"/>
  <c r="O48" i="13"/>
  <c r="P48" i="13" s="1"/>
  <c r="K16" i="13"/>
  <c r="O16" i="13"/>
  <c r="P16" i="13" s="1"/>
  <c r="K37" i="13"/>
  <c r="O37" i="13"/>
  <c r="P37" i="13" s="1"/>
  <c r="K56" i="13"/>
  <c r="P42" i="13"/>
  <c r="K63" i="13"/>
  <c r="O63" i="13"/>
  <c r="P63" i="13" s="1"/>
  <c r="P38" i="13"/>
  <c r="K98" i="13"/>
  <c r="O98" i="13"/>
  <c r="P98" i="13" s="1"/>
  <c r="K75" i="13"/>
  <c r="O75" i="13"/>
  <c r="P75" i="13" s="1"/>
  <c r="K85" i="13"/>
  <c r="O85" i="13"/>
  <c r="P85" i="13" s="1"/>
  <c r="K86" i="13"/>
  <c r="O86" i="13"/>
  <c r="P86" i="13" s="1"/>
  <c r="K77" i="13"/>
  <c r="O77" i="13"/>
  <c r="P77" i="13" s="1"/>
  <c r="K73" i="13"/>
  <c r="O73" i="13"/>
  <c r="P73" i="13" s="1"/>
  <c r="K61" i="13"/>
  <c r="O61" i="13"/>
  <c r="P61" i="13" s="1"/>
  <c r="K24" i="13"/>
  <c r="O24" i="13"/>
  <c r="P24" i="13" s="1"/>
  <c r="K70" i="13"/>
  <c r="O70" i="13"/>
  <c r="P70" i="13" s="1"/>
  <c r="K29" i="13"/>
  <c r="O29" i="13"/>
  <c r="P29" i="13" s="1"/>
  <c r="K36" i="13"/>
  <c r="P59" i="13"/>
  <c r="K28" i="13"/>
  <c r="O28" i="13"/>
  <c r="P28" i="13" s="1"/>
  <c r="K97" i="13"/>
  <c r="O97" i="13"/>
  <c r="P97" i="13" s="1"/>
  <c r="K81" i="13"/>
  <c r="O81" i="13"/>
  <c r="P81" i="13" s="1"/>
  <c r="K76" i="13"/>
  <c r="O76" i="13"/>
  <c r="P76" i="13" s="1"/>
  <c r="K69" i="13"/>
  <c r="O69" i="13"/>
  <c r="P69" i="13" s="1"/>
  <c r="K52" i="13"/>
  <c r="O52" i="13"/>
  <c r="P52" i="13" s="1"/>
  <c r="K44" i="13"/>
  <c r="O44" i="13"/>
  <c r="P44" i="13" s="1"/>
  <c r="K32" i="13"/>
  <c r="O32" i="13"/>
  <c r="P32" i="13" s="1"/>
  <c r="K66" i="13"/>
  <c r="O66" i="13"/>
  <c r="P66" i="13" s="1"/>
  <c r="K17" i="13"/>
  <c r="O17" i="13"/>
  <c r="P17" i="13" s="1"/>
  <c r="P26" i="13"/>
  <c r="M23" i="12"/>
  <c r="M24" i="12"/>
  <c r="M27" i="12"/>
  <c r="M40" i="12"/>
  <c r="M43" i="12"/>
  <c r="M56" i="12"/>
  <c r="M59" i="12"/>
  <c r="M62" i="12"/>
  <c r="M64" i="12"/>
  <c r="M66" i="12"/>
  <c r="M68" i="12"/>
  <c r="M70" i="12"/>
  <c r="M101" i="12"/>
  <c r="M47" i="12"/>
  <c r="M73" i="12"/>
  <c r="M31" i="12"/>
  <c r="M16" i="12"/>
  <c r="M19" i="12"/>
  <c r="M32" i="12"/>
  <c r="M35" i="12"/>
  <c r="M48" i="12"/>
  <c r="M51" i="12"/>
  <c r="O63" i="12"/>
  <c r="M63" i="12"/>
  <c r="O65" i="12"/>
  <c r="M65" i="12"/>
  <c r="O67" i="12"/>
  <c r="M67" i="12"/>
  <c r="O69" i="12"/>
  <c r="M69" i="12"/>
  <c r="O71" i="12"/>
  <c r="M71" i="12"/>
  <c r="O74" i="12"/>
  <c r="M74" i="12"/>
  <c r="M77" i="12"/>
  <c r="M81" i="12"/>
  <c r="O84" i="12"/>
  <c r="P84" i="12" s="1"/>
  <c r="M96" i="12"/>
  <c r="M39" i="12"/>
  <c r="M55" i="12"/>
  <c r="O82" i="12"/>
  <c r="M82" i="12"/>
  <c r="M85" i="12"/>
  <c r="M97" i="12"/>
  <c r="M100" i="12"/>
  <c r="O22" i="11"/>
  <c r="P22" i="11" s="1"/>
  <c r="P42" i="15"/>
  <c r="P30" i="15"/>
  <c r="P44" i="15"/>
  <c r="P33" i="15"/>
  <c r="P25" i="15"/>
  <c r="P24" i="15"/>
  <c r="M47" i="15"/>
  <c r="M45" i="15"/>
  <c r="O37" i="15"/>
  <c r="O36" i="15"/>
  <c r="M22" i="15"/>
  <c r="O47" i="15"/>
  <c r="O45" i="15"/>
  <c r="P45" i="15" s="1"/>
  <c r="M37" i="15"/>
  <c r="M36" i="15"/>
  <c r="O22" i="15"/>
  <c r="P32" i="10"/>
  <c r="P26" i="10"/>
  <c r="P48" i="10"/>
  <c r="P45" i="10"/>
  <c r="P42" i="10"/>
  <c r="P30" i="10"/>
  <c r="P24" i="10"/>
  <c r="K44" i="10"/>
  <c r="O44" i="10"/>
  <c r="O53" i="10"/>
  <c r="M44" i="10"/>
  <c r="M31" i="10"/>
  <c r="P31" i="10" s="1"/>
  <c r="O50" i="10"/>
  <c r="P49" i="10"/>
  <c r="O34" i="10"/>
  <c r="P34" i="10" s="1"/>
  <c r="M25" i="10"/>
  <c r="P25" i="10" s="1"/>
  <c r="P17" i="10"/>
  <c r="O54" i="10"/>
  <c r="P20" i="10"/>
  <c r="K20" i="10"/>
  <c r="M54" i="10"/>
  <c r="P54" i="10" s="1"/>
  <c r="M53" i="10"/>
  <c r="O47" i="10"/>
  <c r="P47" i="10" s="1"/>
  <c r="M39" i="10"/>
  <c r="P39" i="10" s="1"/>
  <c r="M38" i="10"/>
  <c r="P38" i="10" s="1"/>
  <c r="M37" i="10"/>
  <c r="P37" i="10" s="1"/>
  <c r="M36" i="10"/>
  <c r="P36" i="10" s="1"/>
  <c r="M21" i="10"/>
  <c r="P21" i="10" s="1"/>
  <c r="K22" i="12"/>
  <c r="K54" i="12"/>
  <c r="K88" i="12"/>
  <c r="K98" i="12"/>
  <c r="K74" i="12"/>
  <c r="O22" i="12"/>
  <c r="P22" i="12" s="1"/>
  <c r="O46" i="12"/>
  <c r="P46" i="12" s="1"/>
  <c r="O54" i="12"/>
  <c r="P54" i="12" s="1"/>
  <c r="O80" i="12"/>
  <c r="P80" i="12" s="1"/>
  <c r="O88" i="12"/>
  <c r="P88" i="12" s="1"/>
  <c r="K82" i="12"/>
  <c r="K18" i="12"/>
  <c r="K26" i="12"/>
  <c r="K34" i="12"/>
  <c r="K42" i="12"/>
  <c r="K50" i="12"/>
  <c r="K58" i="12"/>
  <c r="K63" i="12"/>
  <c r="K65" i="12"/>
  <c r="K67" i="12"/>
  <c r="K69" i="12"/>
  <c r="K71" i="12"/>
  <c r="K76" i="12"/>
  <c r="O78" i="12"/>
  <c r="P78" i="12" s="1"/>
  <c r="K84" i="12"/>
  <c r="O29" i="12"/>
  <c r="P29" i="12" s="1"/>
  <c r="O45" i="12"/>
  <c r="P45" i="12" s="1"/>
  <c r="O87" i="12"/>
  <c r="P87" i="12" s="1"/>
  <c r="K25" i="11"/>
  <c r="K15" i="11"/>
  <c r="E18" i="15"/>
  <c r="E32" i="15"/>
  <c r="K15" i="15"/>
  <c r="O28" i="15"/>
  <c r="P28" i="15" s="1"/>
  <c r="K31" i="10"/>
  <c r="K21" i="10"/>
  <c r="O22" i="10"/>
  <c r="P22" i="10" s="1"/>
  <c r="M83" i="9"/>
  <c r="E104" i="9"/>
  <c r="E105" i="9"/>
  <c r="P73" i="9"/>
  <c r="P39" i="9"/>
  <c r="P38" i="9"/>
  <c r="N116" i="9"/>
  <c r="K82" i="9"/>
  <c r="E102" i="9"/>
  <c r="M120" i="9"/>
  <c r="N115" i="9"/>
  <c r="O117" i="9"/>
  <c r="M115" i="9"/>
  <c r="P82" i="9"/>
  <c r="K88" i="9"/>
  <c r="M118" i="9"/>
  <c r="M121" i="9"/>
  <c r="N117" i="9"/>
  <c r="N80" i="9"/>
  <c r="H47" i="9"/>
  <c r="M47" i="9" s="1"/>
  <c r="L47" i="9"/>
  <c r="M89" i="9"/>
  <c r="N89" i="9"/>
  <c r="M112" i="9"/>
  <c r="O89" i="9"/>
  <c r="M16" i="9"/>
  <c r="N16" i="9"/>
  <c r="O16" i="9"/>
  <c r="E21" i="9"/>
  <c r="E22" i="9" s="1"/>
  <c r="M18" i="9"/>
  <c r="N18" i="9"/>
  <c r="O18" i="9"/>
  <c r="M48" i="9"/>
  <c r="N48" i="9"/>
  <c r="O48" i="9"/>
  <c r="M50" i="9"/>
  <c r="N50" i="9"/>
  <c r="O50" i="9"/>
  <c r="L52" i="9"/>
  <c r="M52" i="9"/>
  <c r="N52" i="9"/>
  <c r="O78" i="9"/>
  <c r="M78" i="9"/>
  <c r="O81" i="9"/>
  <c r="L81" i="9"/>
  <c r="E85" i="9"/>
  <c r="N83" i="9"/>
  <c r="N100" i="9"/>
  <c r="O100" i="9"/>
  <c r="L120" i="9"/>
  <c r="L118" i="9"/>
  <c r="M117" i="9"/>
  <c r="M116" i="9"/>
  <c r="L115" i="9"/>
  <c r="M100" i="9"/>
  <c r="L89" i="9"/>
  <c r="L83" i="9"/>
  <c r="L18" i="9"/>
  <c r="M35" i="9"/>
  <c r="N35" i="9"/>
  <c r="N43" i="9"/>
  <c r="L35" i="9"/>
  <c r="K30" i="9"/>
  <c r="O30" i="9"/>
  <c r="O42" i="9"/>
  <c r="M42" i="9"/>
  <c r="L58" i="9"/>
  <c r="M58" i="9"/>
  <c r="N58" i="9"/>
  <c r="M67" i="9"/>
  <c r="N67" i="9"/>
  <c r="O67" i="9"/>
  <c r="E72" i="9"/>
  <c r="N69" i="9"/>
  <c r="K79" i="9"/>
  <c r="O79" i="9"/>
  <c r="O121" i="9"/>
  <c r="P121" i="9" s="1"/>
  <c r="O120" i="9"/>
  <c r="L116" i="9"/>
  <c r="L100" i="9"/>
  <c r="N81" i="9"/>
  <c r="M69" i="9"/>
  <c r="O58" i="9"/>
  <c r="L50" i="9"/>
  <c r="M30" i="9"/>
  <c r="L57" i="9"/>
  <c r="M57" i="9"/>
  <c r="N57" i="9"/>
  <c r="E61" i="9"/>
  <c r="O59" i="9"/>
  <c r="L59" i="9"/>
  <c r="M59" i="9"/>
  <c r="M68" i="9"/>
  <c r="N68" i="9"/>
  <c r="O68" i="9"/>
  <c r="E95" i="9"/>
  <c r="L93" i="9"/>
  <c r="M93" i="9"/>
  <c r="M17" i="9"/>
  <c r="N17" i="9"/>
  <c r="O17" i="9"/>
  <c r="M27" i="9"/>
  <c r="K31" i="9"/>
  <c r="O31" i="9"/>
  <c r="E44" i="9"/>
  <c r="O43" i="9"/>
  <c r="L43" i="9"/>
  <c r="M43" i="9"/>
  <c r="M49" i="9"/>
  <c r="N49" i="9"/>
  <c r="O49" i="9"/>
  <c r="M51" i="9"/>
  <c r="N51" i="9"/>
  <c r="O51" i="9"/>
  <c r="L53" i="9"/>
  <c r="M53" i="9"/>
  <c r="N53" i="9"/>
  <c r="M56" i="9"/>
  <c r="O80" i="9"/>
  <c r="L80" i="9"/>
  <c r="N99" i="9"/>
  <c r="O99" i="9"/>
  <c r="E103" i="9"/>
  <c r="N101" i="9"/>
  <c r="N114" i="9"/>
  <c r="O114" i="9"/>
  <c r="N118" i="9"/>
  <c r="L114" i="9"/>
  <c r="M101" i="9"/>
  <c r="M99" i="9"/>
  <c r="M81" i="9"/>
  <c r="M79" i="9"/>
  <c r="L69" i="9"/>
  <c r="O57" i="9"/>
  <c r="O52" i="9"/>
  <c r="L49" i="9"/>
  <c r="M31" i="9"/>
  <c r="L16" i="9"/>
  <c r="P46" i="9"/>
  <c r="P45" i="9"/>
  <c r="K62" i="9"/>
  <c r="E71" i="9"/>
  <c r="O98" i="9"/>
  <c r="P98" i="9" s="1"/>
  <c r="K101" i="9"/>
  <c r="E20" i="9"/>
  <c r="K107" i="9"/>
  <c r="E91" i="9"/>
  <c r="E84" i="9"/>
  <c r="O66" i="9"/>
  <c r="P66" i="9" s="1"/>
  <c r="O69" i="9"/>
  <c r="E96" i="9"/>
  <c r="E107" i="9"/>
  <c r="E19" i="9"/>
  <c r="O32" i="9"/>
  <c r="P32" i="9" s="1"/>
  <c r="K35" i="9"/>
  <c r="E74" i="9"/>
  <c r="K78" i="9"/>
  <c r="K83" i="9"/>
  <c r="E90" i="9"/>
  <c r="K93" i="9"/>
  <c r="K118" i="9"/>
  <c r="E94" i="9"/>
  <c r="E119" i="9"/>
  <c r="E60" i="9"/>
  <c r="E62" i="9"/>
  <c r="E86" i="9"/>
  <c r="E70" i="9"/>
  <c r="K26" i="8"/>
  <c r="K16" i="8"/>
  <c r="K17" i="8"/>
  <c r="K18" i="8"/>
  <c r="K21" i="8"/>
  <c r="E20" i="8"/>
  <c r="K84" i="8"/>
  <c r="K32" i="8"/>
  <c r="K15" i="8"/>
  <c r="K44" i="8"/>
  <c r="E78" i="8"/>
  <c r="E74" i="8"/>
  <c r="E77" i="8"/>
  <c r="E75" i="8"/>
  <c r="E76" i="8" s="1"/>
  <c r="E99" i="8"/>
  <c r="E95" i="8"/>
  <c r="E98" i="8"/>
  <c r="E96" i="8"/>
  <c r="E97" i="8" s="1"/>
  <c r="E38" i="8"/>
  <c r="E22" i="8"/>
  <c r="E23" i="8"/>
  <c r="E24" i="8" s="1"/>
  <c r="E59" i="8"/>
  <c r="E55" i="8"/>
  <c r="E58" i="8"/>
  <c r="E56" i="8"/>
  <c r="E57" i="8" s="1"/>
  <c r="E19" i="8"/>
  <c r="K49" i="8"/>
  <c r="K50" i="8"/>
  <c r="K51" i="8"/>
  <c r="E53" i="8"/>
  <c r="K54" i="8"/>
  <c r="K63" i="8"/>
  <c r="K68" i="8"/>
  <c r="K69" i="8"/>
  <c r="K70" i="8"/>
  <c r="E72" i="8"/>
  <c r="K73" i="8"/>
  <c r="K89" i="8"/>
  <c r="K90" i="8"/>
  <c r="K91" i="8"/>
  <c r="E93" i="8"/>
  <c r="K94" i="8"/>
  <c r="K103" i="8"/>
  <c r="K88" i="8"/>
  <c r="K99" i="8"/>
  <c r="E52" i="8"/>
  <c r="E71" i="8"/>
  <c r="E92" i="8"/>
  <c r="L17" i="7"/>
  <c r="N17" i="7"/>
  <c r="L19" i="7"/>
  <c r="N19" i="7"/>
  <c r="L20" i="7"/>
  <c r="N20" i="7"/>
  <c r="L21" i="7"/>
  <c r="N21" i="7"/>
  <c r="L23" i="7"/>
  <c r="N23" i="7"/>
  <c r="L24" i="7"/>
  <c r="N24" i="7"/>
  <c r="L25" i="7"/>
  <c r="N25" i="7"/>
  <c r="L26" i="7"/>
  <c r="N26" i="7"/>
  <c r="L27" i="7"/>
  <c r="N27" i="7"/>
  <c r="L28" i="7"/>
  <c r="M28" i="7"/>
  <c r="N28" i="7"/>
  <c r="O28" i="7"/>
  <c r="L29" i="7"/>
  <c r="N29" i="7"/>
  <c r="L31" i="7"/>
  <c r="N31" i="7"/>
  <c r="L36" i="7"/>
  <c r="N36" i="7"/>
  <c r="L40" i="7"/>
  <c r="M40" i="7"/>
  <c r="N40" i="7"/>
  <c r="O40" i="7"/>
  <c r="L50" i="7"/>
  <c r="M50" i="7"/>
  <c r="O50" i="7"/>
  <c r="L54" i="7"/>
  <c r="N54" i="7"/>
  <c r="L58" i="7"/>
  <c r="M58" i="7"/>
  <c r="N58" i="7"/>
  <c r="O58" i="7"/>
  <c r="L66" i="7"/>
  <c r="N66" i="7"/>
  <c r="L69" i="7"/>
  <c r="N69" i="7"/>
  <c r="L82" i="7"/>
  <c r="N82" i="7"/>
  <c r="L90" i="7"/>
  <c r="N90" i="7"/>
  <c r="L93" i="7"/>
  <c r="N93" i="7"/>
  <c r="L104" i="7"/>
  <c r="N104" i="7"/>
  <c r="L112" i="7"/>
  <c r="N112" i="7"/>
  <c r="L115" i="7"/>
  <c r="N115" i="7"/>
  <c r="L128" i="7"/>
  <c r="N128" i="7"/>
  <c r="L136" i="7"/>
  <c r="N136" i="7"/>
  <c r="L139" i="7"/>
  <c r="N139" i="7"/>
  <c r="K152" i="7"/>
  <c r="K151" i="7"/>
  <c r="H150" i="7"/>
  <c r="K150" i="7" s="1"/>
  <c r="K149" i="7"/>
  <c r="K148" i="7"/>
  <c r="K147" i="7"/>
  <c r="H146" i="7"/>
  <c r="K146" i="7" s="1"/>
  <c r="E146" i="7"/>
  <c r="E149" i="7" s="1"/>
  <c r="L149" i="7" s="1"/>
  <c r="K145" i="7"/>
  <c r="E145" i="7"/>
  <c r="M145" i="7" s="1"/>
  <c r="K144" i="7"/>
  <c r="E144" i="7"/>
  <c r="M144" i="7" s="1"/>
  <c r="K143" i="7"/>
  <c r="K142" i="7"/>
  <c r="E142" i="7"/>
  <c r="E143" i="7" s="1"/>
  <c r="N143" i="7" s="1"/>
  <c r="K141" i="7"/>
  <c r="E141" i="7"/>
  <c r="M141" i="7" s="1"/>
  <c r="K140" i="7"/>
  <c r="E140" i="7"/>
  <c r="N140" i="7" s="1"/>
  <c r="H139" i="7"/>
  <c r="M139" i="7" s="1"/>
  <c r="K138" i="7"/>
  <c r="E138" i="7"/>
  <c r="O138" i="7" s="1"/>
  <c r="K137" i="7"/>
  <c r="E137" i="7"/>
  <c r="O137" i="7" s="1"/>
  <c r="H136" i="7"/>
  <c r="M136" i="7" s="1"/>
  <c r="K134" i="7"/>
  <c r="K133" i="7"/>
  <c r="H132" i="7"/>
  <c r="K131" i="7"/>
  <c r="E131" i="7"/>
  <c r="L131" i="7" s="1"/>
  <c r="E130" i="7"/>
  <c r="O130" i="7" s="1"/>
  <c r="E129" i="7"/>
  <c r="L129" i="7" s="1"/>
  <c r="H128" i="7"/>
  <c r="M128" i="7" s="1"/>
  <c r="K127" i="7"/>
  <c r="E127" i="7"/>
  <c r="L127" i="7" s="1"/>
  <c r="K126" i="7"/>
  <c r="E126" i="7"/>
  <c r="M126" i="7" s="1"/>
  <c r="K125" i="7"/>
  <c r="K123" i="7"/>
  <c r="H122" i="7"/>
  <c r="E122" i="7"/>
  <c r="E123" i="7" s="1"/>
  <c r="K121" i="7"/>
  <c r="E121" i="7"/>
  <c r="N121" i="7" s="1"/>
  <c r="K120" i="7"/>
  <c r="E120" i="7"/>
  <c r="M120" i="7" s="1"/>
  <c r="K119" i="7"/>
  <c r="K118" i="7"/>
  <c r="E118" i="7"/>
  <c r="E119" i="7" s="1"/>
  <c r="O119" i="7" s="1"/>
  <c r="K117" i="7"/>
  <c r="E117" i="7"/>
  <c r="O117" i="7" s="1"/>
  <c r="K116" i="7"/>
  <c r="E116" i="7"/>
  <c r="O116" i="7" s="1"/>
  <c r="H115" i="7"/>
  <c r="M115" i="7" s="1"/>
  <c r="K114" i="7"/>
  <c r="E114" i="7"/>
  <c r="L114" i="7" s="1"/>
  <c r="K113" i="7"/>
  <c r="E113" i="7"/>
  <c r="L113" i="7" s="1"/>
  <c r="H112" i="7"/>
  <c r="M112" i="7" s="1"/>
  <c r="K110" i="7"/>
  <c r="K109" i="7"/>
  <c r="H108" i="7"/>
  <c r="K107" i="7"/>
  <c r="E107" i="7"/>
  <c r="E106" i="7"/>
  <c r="E105" i="7"/>
  <c r="H104" i="7"/>
  <c r="M104" i="7" s="1"/>
  <c r="K103" i="7"/>
  <c r="K106" i="7"/>
  <c r="H100" i="7"/>
  <c r="E100" i="7"/>
  <c r="K99" i="7"/>
  <c r="E99" i="7"/>
  <c r="K98" i="7"/>
  <c r="E98" i="7"/>
  <c r="K97" i="7"/>
  <c r="E96" i="7"/>
  <c r="K95" i="7"/>
  <c r="E95" i="7"/>
  <c r="K94" i="7"/>
  <c r="E94" i="7"/>
  <c r="H93" i="7"/>
  <c r="K92" i="7"/>
  <c r="E92" i="7"/>
  <c r="K91" i="7"/>
  <c r="E91" i="7"/>
  <c r="H90" i="7"/>
  <c r="M90" i="7" s="1"/>
  <c r="K88" i="7"/>
  <c r="K87" i="7"/>
  <c r="H86" i="7"/>
  <c r="E85" i="7"/>
  <c r="E84" i="7"/>
  <c r="E83" i="7"/>
  <c r="H82" i="7"/>
  <c r="K81" i="7"/>
  <c r="E81" i="7"/>
  <c r="K80" i="7"/>
  <c r="E80" i="7"/>
  <c r="K79" i="7"/>
  <c r="K78" i="7"/>
  <c r="K83" i="7"/>
  <c r="H76" i="7"/>
  <c r="E76" i="7"/>
  <c r="K75" i="7"/>
  <c r="E75" i="7"/>
  <c r="K74" i="7"/>
  <c r="E74" i="7"/>
  <c r="K73" i="7"/>
  <c r="K72" i="7"/>
  <c r="E72" i="7"/>
  <c r="K71" i="7"/>
  <c r="E71" i="7"/>
  <c r="K70" i="7"/>
  <c r="E70" i="7"/>
  <c r="H69" i="7"/>
  <c r="K68" i="7"/>
  <c r="E68" i="7"/>
  <c r="K67" i="7"/>
  <c r="E67" i="7"/>
  <c r="H66" i="7"/>
  <c r="M66" i="7" s="1"/>
  <c r="K64" i="7"/>
  <c r="K63" i="7"/>
  <c r="K62" i="7"/>
  <c r="K61" i="7"/>
  <c r="K60" i="7"/>
  <c r="H59" i="7"/>
  <c r="E59" i="7"/>
  <c r="K58" i="7"/>
  <c r="K57" i="7"/>
  <c r="E57" i="7"/>
  <c r="K56" i="7"/>
  <c r="E56" i="7"/>
  <c r="K55" i="7"/>
  <c r="E55" i="7"/>
  <c r="H54" i="7"/>
  <c r="K53" i="7"/>
  <c r="K52" i="7"/>
  <c r="K51" i="7"/>
  <c r="K49" i="7"/>
  <c r="H48" i="7"/>
  <c r="E48" i="7"/>
  <c r="K46" i="7"/>
  <c r="K45" i="7"/>
  <c r="K44" i="7"/>
  <c r="K43" i="7"/>
  <c r="K42" i="7"/>
  <c r="H41" i="7"/>
  <c r="K41" i="7" s="1"/>
  <c r="E41" i="7"/>
  <c r="K40" i="7"/>
  <c r="K39" i="7"/>
  <c r="E39" i="7"/>
  <c r="K38" i="7"/>
  <c r="E38" i="7"/>
  <c r="K37" i="7"/>
  <c r="E37" i="7"/>
  <c r="H36" i="7"/>
  <c r="M36" i="7" s="1"/>
  <c r="K35" i="7"/>
  <c r="E35" i="7"/>
  <c r="K34" i="7"/>
  <c r="E34" i="7"/>
  <c r="K33" i="7"/>
  <c r="E33" i="7"/>
  <c r="K32" i="7"/>
  <c r="E32" i="7"/>
  <c r="H31" i="7"/>
  <c r="M31" i="7" s="1"/>
  <c r="H29" i="7"/>
  <c r="M29" i="7" s="1"/>
  <c r="K28" i="7"/>
  <c r="H27" i="7"/>
  <c r="M27" i="7" s="1"/>
  <c r="H26" i="7"/>
  <c r="H25" i="7"/>
  <c r="H24" i="7"/>
  <c r="M24" i="7" s="1"/>
  <c r="H23" i="7"/>
  <c r="M23" i="7" s="1"/>
  <c r="H21" i="7"/>
  <c r="M21" i="7" s="1"/>
  <c r="H20" i="7"/>
  <c r="H19" i="7"/>
  <c r="H17" i="7"/>
  <c r="M17" i="7" s="1"/>
  <c r="H15" i="7"/>
  <c r="E33" i="6"/>
  <c r="L105" i="9" l="1"/>
  <c r="M105" i="9"/>
  <c r="N105" i="9"/>
  <c r="O105" i="9"/>
  <c r="E106" i="9"/>
  <c r="L104" i="9"/>
  <c r="N104" i="9"/>
  <c r="O104" i="9"/>
  <c r="M104" i="9"/>
  <c r="L32" i="15"/>
  <c r="M32" i="15"/>
  <c r="N32" i="15"/>
  <c r="O32" i="15"/>
  <c r="P32" i="15" s="1"/>
  <c r="L18" i="15"/>
  <c r="M18" i="15"/>
  <c r="N18" i="15"/>
  <c r="O18" i="15"/>
  <c r="P18" i="15" s="1"/>
  <c r="P53" i="10"/>
  <c r="P22" i="15"/>
  <c r="P37" i="15"/>
  <c r="P74" i="12"/>
  <c r="P71" i="12"/>
  <c r="P69" i="12"/>
  <c r="P67" i="12"/>
  <c r="P65" i="12"/>
  <c r="P63" i="12"/>
  <c r="L21" i="11"/>
  <c r="M21" i="11"/>
  <c r="N21" i="11"/>
  <c r="O21" i="11"/>
  <c r="P21" i="11" s="1"/>
  <c r="P38" i="15"/>
  <c r="L41" i="15"/>
  <c r="M41" i="15"/>
  <c r="N41" i="15"/>
  <c r="O41" i="15"/>
  <c r="P41" i="15" s="1"/>
  <c r="L26" i="15"/>
  <c r="M26" i="15"/>
  <c r="N26" i="15"/>
  <c r="O26" i="15"/>
  <c r="P26" i="15" s="1"/>
  <c r="L20" i="15"/>
  <c r="M20" i="15"/>
  <c r="N20" i="15"/>
  <c r="O20" i="15"/>
  <c r="P20" i="15" s="1"/>
  <c r="L17" i="15"/>
  <c r="M17" i="15"/>
  <c r="N17" i="15"/>
  <c r="O17" i="15"/>
  <c r="P17" i="15" s="1"/>
  <c r="P51" i="10"/>
  <c r="L50" i="10"/>
  <c r="M50" i="10"/>
  <c r="N50" i="10"/>
  <c r="P50" i="10" s="1"/>
  <c r="P46" i="10"/>
  <c r="P19" i="10"/>
  <c r="K102" i="12"/>
  <c r="O102" i="12"/>
  <c r="P102" i="12" s="1"/>
  <c r="K83" i="12"/>
  <c r="O83" i="12"/>
  <c r="P83" i="12" s="1"/>
  <c r="K57" i="12"/>
  <c r="O57" i="12"/>
  <c r="P57" i="12" s="1"/>
  <c r="K41" i="12"/>
  <c r="O41" i="12"/>
  <c r="P41" i="12" s="1"/>
  <c r="K25" i="12"/>
  <c r="O25" i="12"/>
  <c r="P25" i="12" s="1"/>
  <c r="K45" i="12"/>
  <c r="K78" i="12"/>
  <c r="K38" i="12"/>
  <c r="O38" i="12"/>
  <c r="P38" i="12" s="1"/>
  <c r="K46" i="12"/>
  <c r="K100" i="12"/>
  <c r="O100" i="12"/>
  <c r="P100" i="12" s="1"/>
  <c r="K85" i="12"/>
  <c r="O85" i="12"/>
  <c r="P85" i="12" s="1"/>
  <c r="K55" i="12"/>
  <c r="O55" i="12"/>
  <c r="P55" i="12" s="1"/>
  <c r="K96" i="12"/>
  <c r="O96" i="12"/>
  <c r="P96" i="12" s="1"/>
  <c r="K51" i="12"/>
  <c r="O51" i="12"/>
  <c r="P51" i="12" s="1"/>
  <c r="K28" i="12"/>
  <c r="O28" i="12"/>
  <c r="P28" i="12" s="1"/>
  <c r="K16" i="12"/>
  <c r="O16" i="12"/>
  <c r="P16" i="12" s="1"/>
  <c r="K73" i="12"/>
  <c r="O73" i="12"/>
  <c r="P73" i="12" s="1"/>
  <c r="K101" i="12"/>
  <c r="O101" i="12"/>
  <c r="P101" i="12" s="1"/>
  <c r="K68" i="12"/>
  <c r="O68" i="12"/>
  <c r="P68" i="12" s="1"/>
  <c r="K64" i="12"/>
  <c r="O64" i="12"/>
  <c r="P64" i="12" s="1"/>
  <c r="K59" i="12"/>
  <c r="O59" i="12"/>
  <c r="P59" i="12" s="1"/>
  <c r="K36" i="12"/>
  <c r="O36" i="12"/>
  <c r="P36" i="12" s="1"/>
  <c r="K24" i="12"/>
  <c r="O24" i="12"/>
  <c r="P24" i="12" s="1"/>
  <c r="K99" i="12"/>
  <c r="O99" i="12"/>
  <c r="P99" i="12" s="1"/>
  <c r="K79" i="12"/>
  <c r="O79" i="12"/>
  <c r="P79" i="12" s="1"/>
  <c r="K53" i="12"/>
  <c r="O53" i="12"/>
  <c r="P53" i="12" s="1"/>
  <c r="K37" i="12"/>
  <c r="O37" i="12"/>
  <c r="P37" i="12" s="1"/>
  <c r="K21" i="12"/>
  <c r="O21" i="12"/>
  <c r="P21" i="12" s="1"/>
  <c r="K29" i="12"/>
  <c r="K72" i="12"/>
  <c r="O72" i="12"/>
  <c r="P72" i="12" s="1"/>
  <c r="K30" i="12"/>
  <c r="O30" i="12"/>
  <c r="P30" i="12" s="1"/>
  <c r="K77" i="12"/>
  <c r="O77" i="12"/>
  <c r="P77" i="12" s="1"/>
  <c r="K35" i="12"/>
  <c r="O35" i="12"/>
  <c r="P35" i="12" s="1"/>
  <c r="K43" i="12"/>
  <c r="O43" i="12"/>
  <c r="P43" i="12" s="1"/>
  <c r="K20" i="12"/>
  <c r="O20" i="12"/>
  <c r="P20" i="12" s="1"/>
  <c r="K95" i="12"/>
  <c r="O95" i="12"/>
  <c r="P95" i="12" s="1"/>
  <c r="K75" i="12"/>
  <c r="O75" i="12"/>
  <c r="P75" i="12" s="1"/>
  <c r="K49" i="12"/>
  <c r="O49" i="12"/>
  <c r="P49" i="12" s="1"/>
  <c r="K33" i="12"/>
  <c r="O33" i="12"/>
  <c r="P33" i="12" s="1"/>
  <c r="K17" i="12"/>
  <c r="O17" i="12"/>
  <c r="P17" i="12" s="1"/>
  <c r="K86" i="12"/>
  <c r="O86" i="12"/>
  <c r="P86" i="12" s="1"/>
  <c r="K80" i="12"/>
  <c r="K97" i="12"/>
  <c r="O97" i="12"/>
  <c r="P97" i="12" s="1"/>
  <c r="P82" i="12"/>
  <c r="K39" i="12"/>
  <c r="O39" i="12"/>
  <c r="P39" i="12" s="1"/>
  <c r="K60" i="12"/>
  <c r="O60" i="12"/>
  <c r="P60" i="12" s="1"/>
  <c r="K48" i="12"/>
  <c r="O48" i="12"/>
  <c r="P48" i="12" s="1"/>
  <c r="K19" i="12"/>
  <c r="O19" i="12"/>
  <c r="P19" i="12" s="1"/>
  <c r="K31" i="12"/>
  <c r="O31" i="12"/>
  <c r="P31" i="12" s="1"/>
  <c r="K47" i="12"/>
  <c r="O47" i="12"/>
  <c r="P47" i="12" s="1"/>
  <c r="K70" i="12"/>
  <c r="O70" i="12"/>
  <c r="P70" i="12" s="1"/>
  <c r="K66" i="12"/>
  <c r="O66" i="12"/>
  <c r="P66" i="12" s="1"/>
  <c r="K62" i="12"/>
  <c r="O62" i="12"/>
  <c r="P62" i="12" s="1"/>
  <c r="K56" i="12"/>
  <c r="O56" i="12"/>
  <c r="P56" i="12" s="1"/>
  <c r="K27" i="12"/>
  <c r="O27" i="12"/>
  <c r="P27" i="12" s="1"/>
  <c r="K61" i="12"/>
  <c r="O61" i="12"/>
  <c r="P61" i="12" s="1"/>
  <c r="K87" i="12"/>
  <c r="K81" i="12"/>
  <c r="O81" i="12"/>
  <c r="P81" i="12" s="1"/>
  <c r="K44" i="12"/>
  <c r="O44" i="12"/>
  <c r="P44" i="12" s="1"/>
  <c r="K32" i="12"/>
  <c r="O32" i="12"/>
  <c r="P32" i="12" s="1"/>
  <c r="K52" i="12"/>
  <c r="O52" i="12"/>
  <c r="P52" i="12" s="1"/>
  <c r="K40" i="12"/>
  <c r="O40" i="12"/>
  <c r="P40" i="12" s="1"/>
  <c r="K23" i="12"/>
  <c r="O23" i="12"/>
  <c r="P23" i="12" s="1"/>
  <c r="K31" i="11"/>
  <c r="O31" i="11"/>
  <c r="P31" i="11" s="1"/>
  <c r="K23" i="11"/>
  <c r="O23" i="11"/>
  <c r="P23" i="11" s="1"/>
  <c r="K34" i="15"/>
  <c r="O34" i="15"/>
  <c r="P34" i="15" s="1"/>
  <c r="K48" i="15"/>
  <c r="O48" i="15"/>
  <c r="P48" i="15" s="1"/>
  <c r="K19" i="15"/>
  <c r="O19" i="15"/>
  <c r="P19" i="15" s="1"/>
  <c r="P47" i="15"/>
  <c r="K16" i="15"/>
  <c r="O16" i="15"/>
  <c r="P16" i="15" s="1"/>
  <c r="K28" i="15"/>
  <c r="P36" i="15"/>
  <c r="K40" i="10"/>
  <c r="O40" i="10"/>
  <c r="P40" i="10" s="1"/>
  <c r="K28" i="10"/>
  <c r="O28" i="10"/>
  <c r="P28" i="10" s="1"/>
  <c r="K56" i="10"/>
  <c r="O56" i="10"/>
  <c r="P56" i="10" s="1"/>
  <c r="K41" i="10"/>
  <c r="O41" i="10"/>
  <c r="P41" i="10" s="1"/>
  <c r="P44" i="10"/>
  <c r="K57" i="10"/>
  <c r="O57" i="10"/>
  <c r="P57" i="10" s="1"/>
  <c r="K22" i="10"/>
  <c r="O88" i="9"/>
  <c r="P88" i="9" s="1"/>
  <c r="P104" i="9"/>
  <c r="O104" i="7"/>
  <c r="P104" i="7" s="1"/>
  <c r="P58" i="7"/>
  <c r="N123" i="7"/>
  <c r="O141" i="7"/>
  <c r="L130" i="7"/>
  <c r="N127" i="7"/>
  <c r="O120" i="7"/>
  <c r="L141" i="7"/>
  <c r="M127" i="7"/>
  <c r="N120" i="7"/>
  <c r="O66" i="7"/>
  <c r="P66" i="7" s="1"/>
  <c r="O90" i="7"/>
  <c r="M122" i="7"/>
  <c r="N122" i="7"/>
  <c r="L120" i="7"/>
  <c r="P28" i="7"/>
  <c r="M130" i="7"/>
  <c r="O127" i="7"/>
  <c r="L122" i="7"/>
  <c r="M25" i="7"/>
  <c r="O38" i="7"/>
  <c r="L38" i="7"/>
  <c r="M38" i="7"/>
  <c r="N38" i="7"/>
  <c r="O36" i="7"/>
  <c r="P36" i="7" s="1"/>
  <c r="L55" i="7"/>
  <c r="M55" i="7"/>
  <c r="N55" i="7"/>
  <c r="O55" i="7"/>
  <c r="O57" i="7"/>
  <c r="L57" i="7"/>
  <c r="M57" i="7"/>
  <c r="N57" i="7"/>
  <c r="M67" i="7"/>
  <c r="N67" i="7"/>
  <c r="O67" i="7"/>
  <c r="L67" i="7"/>
  <c r="O91" i="7"/>
  <c r="L91" i="7"/>
  <c r="M91" i="7"/>
  <c r="N91" i="7"/>
  <c r="N95" i="7"/>
  <c r="O95" i="7"/>
  <c r="L95" i="7"/>
  <c r="M95" i="7"/>
  <c r="O26" i="7"/>
  <c r="M26" i="7"/>
  <c r="L35" i="7"/>
  <c r="M35" i="7"/>
  <c r="N35" i="7"/>
  <c r="O35" i="7"/>
  <c r="O37" i="7"/>
  <c r="L37" i="7"/>
  <c r="M37" i="7"/>
  <c r="N37" i="7"/>
  <c r="O39" i="7"/>
  <c r="L39" i="7"/>
  <c r="M39" i="7"/>
  <c r="N39" i="7"/>
  <c r="L70" i="7"/>
  <c r="M70" i="7"/>
  <c r="N70" i="7"/>
  <c r="O70" i="7"/>
  <c r="E73" i="7"/>
  <c r="O72" i="7"/>
  <c r="L72" i="7"/>
  <c r="M72" i="7"/>
  <c r="N72" i="7"/>
  <c r="O74" i="7"/>
  <c r="L74" i="7"/>
  <c r="M74" i="7"/>
  <c r="N74" i="7"/>
  <c r="E86" i="7"/>
  <c r="N76" i="7"/>
  <c r="O76" i="7"/>
  <c r="L76" i="7"/>
  <c r="M76" i="7"/>
  <c r="L85" i="7"/>
  <c r="M85" i="7"/>
  <c r="N85" i="7"/>
  <c r="O85" i="7"/>
  <c r="M98" i="7"/>
  <c r="N98" i="7"/>
  <c r="O98" i="7"/>
  <c r="L98" i="7"/>
  <c r="E108" i="7"/>
  <c r="L100" i="7"/>
  <c r="M100" i="7"/>
  <c r="N100" i="7"/>
  <c r="O106" i="7"/>
  <c r="L106" i="7"/>
  <c r="M106" i="7"/>
  <c r="N106" i="7"/>
  <c r="E148" i="7"/>
  <c r="O149" i="7"/>
  <c r="L146" i="7"/>
  <c r="L145" i="7"/>
  <c r="L144" i="7"/>
  <c r="M143" i="7"/>
  <c r="M142" i="7"/>
  <c r="M140" i="7"/>
  <c r="N138" i="7"/>
  <c r="N137" i="7"/>
  <c r="O131" i="7"/>
  <c r="O129" i="7"/>
  <c r="L126" i="7"/>
  <c r="M123" i="7"/>
  <c r="M121" i="7"/>
  <c r="N119" i="7"/>
  <c r="N118" i="7"/>
  <c r="N117" i="7"/>
  <c r="N116" i="7"/>
  <c r="O114" i="7"/>
  <c r="N113" i="7"/>
  <c r="O19" i="7"/>
  <c r="M19" i="7"/>
  <c r="L32" i="7"/>
  <c r="M32" i="7"/>
  <c r="N32" i="7"/>
  <c r="O32" i="7"/>
  <c r="K50" i="7"/>
  <c r="N50" i="7"/>
  <c r="M54" i="7"/>
  <c r="O56" i="7"/>
  <c r="L56" i="7"/>
  <c r="M56" i="7"/>
  <c r="N56" i="7"/>
  <c r="L68" i="7"/>
  <c r="M68" i="7"/>
  <c r="N68" i="7"/>
  <c r="O68" i="7"/>
  <c r="M80" i="7"/>
  <c r="N80" i="7"/>
  <c r="O80" i="7"/>
  <c r="L80" i="7"/>
  <c r="O82" i="7"/>
  <c r="M82" i="7"/>
  <c r="P90" i="7"/>
  <c r="N92" i="7"/>
  <c r="O92" i="7"/>
  <c r="L92" i="7"/>
  <c r="M92" i="7"/>
  <c r="N94" i="7"/>
  <c r="O94" i="7"/>
  <c r="L94" i="7"/>
  <c r="M94" i="7"/>
  <c r="E97" i="7"/>
  <c r="M96" i="7"/>
  <c r="N96" i="7"/>
  <c r="O96" i="7"/>
  <c r="L96" i="7"/>
  <c r="O107" i="7"/>
  <c r="L107" i="7"/>
  <c r="M107" i="7"/>
  <c r="N107" i="7"/>
  <c r="N149" i="7"/>
  <c r="O146" i="7"/>
  <c r="O145" i="7"/>
  <c r="O144" i="7"/>
  <c r="L143" i="7"/>
  <c r="L142" i="7"/>
  <c r="L140" i="7"/>
  <c r="M138" i="7"/>
  <c r="M137" i="7"/>
  <c r="N131" i="7"/>
  <c r="O126" i="7"/>
  <c r="L123" i="7"/>
  <c r="L121" i="7"/>
  <c r="M119" i="7"/>
  <c r="M118" i="7"/>
  <c r="M117" i="7"/>
  <c r="M116" i="7"/>
  <c r="N114" i="7"/>
  <c r="M113" i="7"/>
  <c r="L34" i="7"/>
  <c r="M34" i="7"/>
  <c r="N34" i="7"/>
  <c r="O34" i="7"/>
  <c r="E51" i="7"/>
  <c r="M48" i="7"/>
  <c r="N48" i="7"/>
  <c r="L48" i="7"/>
  <c r="L71" i="7"/>
  <c r="M71" i="7"/>
  <c r="N71" i="7"/>
  <c r="O71" i="7"/>
  <c r="O75" i="7"/>
  <c r="L75" i="7"/>
  <c r="M75" i="7"/>
  <c r="N75" i="7"/>
  <c r="M83" i="7"/>
  <c r="N83" i="7"/>
  <c r="O83" i="7"/>
  <c r="L83" i="7"/>
  <c r="M99" i="7"/>
  <c r="N99" i="7"/>
  <c r="O99" i="7"/>
  <c r="L99" i="7"/>
  <c r="M149" i="7"/>
  <c r="N146" i="7"/>
  <c r="N145" i="7"/>
  <c r="N144" i="7"/>
  <c r="O143" i="7"/>
  <c r="O142" i="7"/>
  <c r="O140" i="7"/>
  <c r="L138" i="7"/>
  <c r="L137" i="7"/>
  <c r="M131" i="7"/>
  <c r="M129" i="7"/>
  <c r="N126" i="7"/>
  <c r="O123" i="7"/>
  <c r="O121" i="7"/>
  <c r="L119" i="7"/>
  <c r="L118" i="7"/>
  <c r="L117" i="7"/>
  <c r="L116" i="7"/>
  <c r="M114" i="7"/>
  <c r="O20" i="7"/>
  <c r="M20" i="7"/>
  <c r="E62" i="7"/>
  <c r="L59" i="7"/>
  <c r="M59" i="7"/>
  <c r="N59" i="7"/>
  <c r="O25" i="7"/>
  <c r="L33" i="7"/>
  <c r="M33" i="7"/>
  <c r="N33" i="7"/>
  <c r="O33" i="7"/>
  <c r="E45" i="7"/>
  <c r="N41" i="7"/>
  <c r="O41" i="7"/>
  <c r="L41" i="7"/>
  <c r="M41" i="7"/>
  <c r="O69" i="7"/>
  <c r="M69" i="7"/>
  <c r="M81" i="7"/>
  <c r="N81" i="7"/>
  <c r="O81" i="7"/>
  <c r="L81" i="7"/>
  <c r="L84" i="7"/>
  <c r="M84" i="7"/>
  <c r="O84" i="7"/>
  <c r="O93" i="7"/>
  <c r="M93" i="7"/>
  <c r="O105" i="7"/>
  <c r="L105" i="7"/>
  <c r="M105" i="7"/>
  <c r="M146" i="7"/>
  <c r="N142" i="7"/>
  <c r="N141" i="7"/>
  <c r="O118" i="7"/>
  <c r="O113" i="7"/>
  <c r="P50" i="7"/>
  <c r="P40" i="7"/>
  <c r="P115" i="9"/>
  <c r="P80" i="9"/>
  <c r="P116" i="9"/>
  <c r="P120" i="9"/>
  <c r="P69" i="9"/>
  <c r="P30" i="9"/>
  <c r="P78" i="9"/>
  <c r="K32" i="9"/>
  <c r="P17" i="9"/>
  <c r="P68" i="9"/>
  <c r="P59" i="9"/>
  <c r="P117" i="9"/>
  <c r="O83" i="9"/>
  <c r="P83" i="9" s="1"/>
  <c r="P52" i="9"/>
  <c r="P100" i="9"/>
  <c r="K66" i="9"/>
  <c r="K98" i="9"/>
  <c r="P53" i="9"/>
  <c r="P67" i="9"/>
  <c r="P42" i="9"/>
  <c r="N86" i="9"/>
  <c r="O86" i="9"/>
  <c r="L86" i="9"/>
  <c r="M86" i="9"/>
  <c r="L94" i="9"/>
  <c r="M94" i="9"/>
  <c r="O94" i="9"/>
  <c r="N94" i="9"/>
  <c r="K40" i="9"/>
  <c r="O40" i="9"/>
  <c r="P40" i="9" s="1"/>
  <c r="M102" i="9"/>
  <c r="N102" i="9"/>
  <c r="L102" i="9"/>
  <c r="O102" i="9"/>
  <c r="L22" i="9"/>
  <c r="M22" i="9"/>
  <c r="N22" i="9"/>
  <c r="O22" i="9"/>
  <c r="M71" i="9"/>
  <c r="N71" i="9"/>
  <c r="L71" i="9"/>
  <c r="O71" i="9"/>
  <c r="P81" i="9"/>
  <c r="K37" i="9"/>
  <c r="O37" i="9"/>
  <c r="P37" i="9" s="1"/>
  <c r="L21" i="9"/>
  <c r="M21" i="9"/>
  <c r="N21" i="9"/>
  <c r="O21" i="9"/>
  <c r="O62" i="9"/>
  <c r="L62" i="9"/>
  <c r="M62" i="9"/>
  <c r="N62" i="9"/>
  <c r="K122" i="9"/>
  <c r="O122" i="9"/>
  <c r="P122" i="9" s="1"/>
  <c r="M74" i="9"/>
  <c r="N74" i="9"/>
  <c r="L74" i="9"/>
  <c r="O74" i="9"/>
  <c r="M19" i="9"/>
  <c r="N19" i="9"/>
  <c r="O19" i="9"/>
  <c r="L19" i="9"/>
  <c r="O96" i="9"/>
  <c r="L96" i="9"/>
  <c r="N96" i="9"/>
  <c r="M96" i="9"/>
  <c r="K36" i="9"/>
  <c r="O36" i="9"/>
  <c r="P36" i="9" s="1"/>
  <c r="K69" i="9"/>
  <c r="E24" i="9"/>
  <c r="E26" i="9" s="1"/>
  <c r="L20" i="9"/>
  <c r="M20" i="9"/>
  <c r="N20" i="9"/>
  <c r="O20" i="9"/>
  <c r="P57" i="9"/>
  <c r="O101" i="9"/>
  <c r="P101" i="9" s="1"/>
  <c r="P99" i="9"/>
  <c r="K56" i="9"/>
  <c r="O56" i="9"/>
  <c r="P56" i="9" s="1"/>
  <c r="P51" i="9"/>
  <c r="P49" i="9"/>
  <c r="P43" i="9"/>
  <c r="O61" i="9"/>
  <c r="L61" i="9"/>
  <c r="M61" i="9"/>
  <c r="N61" i="9"/>
  <c r="O93" i="9"/>
  <c r="P93" i="9" s="1"/>
  <c r="P48" i="9"/>
  <c r="P18" i="9"/>
  <c r="P16" i="9"/>
  <c r="P89" i="9"/>
  <c r="K110" i="9"/>
  <c r="O110" i="9"/>
  <c r="P110" i="9" s="1"/>
  <c r="K33" i="9"/>
  <c r="O33" i="9"/>
  <c r="P33" i="9" s="1"/>
  <c r="N44" i="9"/>
  <c r="O44" i="9"/>
  <c r="L44" i="9"/>
  <c r="M44" i="9"/>
  <c r="K27" i="9"/>
  <c r="O27" i="9"/>
  <c r="P27" i="9" s="1"/>
  <c r="O95" i="9"/>
  <c r="L95" i="9"/>
  <c r="M95" i="9"/>
  <c r="N95" i="9"/>
  <c r="O118" i="9"/>
  <c r="P118" i="9" s="1"/>
  <c r="K55" i="9"/>
  <c r="O55" i="9"/>
  <c r="P55" i="9" s="1"/>
  <c r="N85" i="9"/>
  <c r="O85" i="9"/>
  <c r="M85" i="9"/>
  <c r="L85" i="9"/>
  <c r="P50" i="9"/>
  <c r="K92" i="9"/>
  <c r="N92" i="9"/>
  <c r="P92" i="9" s="1"/>
  <c r="K28" i="9"/>
  <c r="O28" i="9"/>
  <c r="P28" i="9" s="1"/>
  <c r="K47" i="9"/>
  <c r="O47" i="9"/>
  <c r="P47" i="9" s="1"/>
  <c r="N84" i="9"/>
  <c r="O84" i="9"/>
  <c r="L84" i="9"/>
  <c r="M84" i="9"/>
  <c r="O60" i="9"/>
  <c r="L60" i="9"/>
  <c r="M60" i="9"/>
  <c r="N60" i="9"/>
  <c r="M90" i="9"/>
  <c r="N90" i="9"/>
  <c r="L90" i="9"/>
  <c r="O90" i="9"/>
  <c r="K65" i="9"/>
  <c r="O65" i="9"/>
  <c r="P65" i="9" s="1"/>
  <c r="K111" i="9"/>
  <c r="O111" i="9"/>
  <c r="P111" i="9" s="1"/>
  <c r="K34" i="9"/>
  <c r="O34" i="9"/>
  <c r="P34" i="9" s="1"/>
  <c r="N70" i="9"/>
  <c r="O70" i="9"/>
  <c r="L70" i="9"/>
  <c r="M70" i="9"/>
  <c r="N119" i="9"/>
  <c r="O119" i="9"/>
  <c r="M119" i="9"/>
  <c r="L119" i="9"/>
  <c r="K113" i="9"/>
  <c r="O113" i="9"/>
  <c r="P113" i="9" s="1"/>
  <c r="K42" i="9"/>
  <c r="M107" i="9"/>
  <c r="N107" i="9"/>
  <c r="O107" i="9"/>
  <c r="L107" i="9"/>
  <c r="K29" i="9"/>
  <c r="O29" i="9"/>
  <c r="P29" i="9" s="1"/>
  <c r="E23" i="9"/>
  <c r="L91" i="9"/>
  <c r="M91" i="9"/>
  <c r="O91" i="9"/>
  <c r="N91" i="9"/>
  <c r="P114" i="9"/>
  <c r="M103" i="9"/>
  <c r="N103" i="9"/>
  <c r="L103" i="9"/>
  <c r="O103" i="9"/>
  <c r="P31" i="9"/>
  <c r="P58" i="9"/>
  <c r="P79" i="9"/>
  <c r="M72" i="9"/>
  <c r="N72" i="9"/>
  <c r="O72" i="9"/>
  <c r="L72" i="9"/>
  <c r="O35" i="9"/>
  <c r="P35" i="9" s="1"/>
  <c r="K112" i="9"/>
  <c r="O112" i="9"/>
  <c r="P112" i="9" s="1"/>
  <c r="E64" i="9"/>
  <c r="E63" i="9"/>
  <c r="E75" i="9"/>
  <c r="E76" i="9"/>
  <c r="E109" i="9"/>
  <c r="E108" i="9"/>
  <c r="E60" i="8"/>
  <c r="E61" i="8"/>
  <c r="E62" i="8"/>
  <c r="E79" i="8"/>
  <c r="E80" i="8"/>
  <c r="E81" i="8"/>
  <c r="E100" i="8"/>
  <c r="E101" i="8"/>
  <c r="E102" i="8"/>
  <c r="E40" i="8"/>
  <c r="E41" i="8"/>
  <c r="E39" i="8"/>
  <c r="K26" i="7"/>
  <c r="O31" i="7"/>
  <c r="P31" i="7" s="1"/>
  <c r="E53" i="7"/>
  <c r="K77" i="7"/>
  <c r="K96" i="7"/>
  <c r="K129" i="7"/>
  <c r="K132" i="7"/>
  <c r="K15" i="7"/>
  <c r="O21" i="7"/>
  <c r="P21" i="7" s="1"/>
  <c r="O24" i="7"/>
  <c r="P24" i="7" s="1"/>
  <c r="K36" i="7"/>
  <c r="E79" i="7"/>
  <c r="K86" i="7"/>
  <c r="K102" i="7"/>
  <c r="K100" i="7"/>
  <c r="K108" i="7"/>
  <c r="K76" i="7"/>
  <c r="K82" i="7"/>
  <c r="K85" i="7"/>
  <c r="K105" i="7"/>
  <c r="K101" i="7"/>
  <c r="K104" i="7"/>
  <c r="O27" i="7"/>
  <c r="P27" i="7" s="1"/>
  <c r="O48" i="7"/>
  <c r="E63" i="7"/>
  <c r="E61" i="7"/>
  <c r="E64" i="7"/>
  <c r="E87" i="7"/>
  <c r="E88" i="7"/>
  <c r="O29" i="7"/>
  <c r="P29" i="7" s="1"/>
  <c r="E60" i="7"/>
  <c r="E124" i="7"/>
  <c r="E125" i="7"/>
  <c r="K124" i="7"/>
  <c r="O17" i="7"/>
  <c r="P17" i="7" s="1"/>
  <c r="O23" i="7"/>
  <c r="P23" i="7" s="1"/>
  <c r="E109" i="7"/>
  <c r="E110" i="7"/>
  <c r="E132" i="7"/>
  <c r="E42" i="7"/>
  <c r="E44" i="7"/>
  <c r="E46" i="7"/>
  <c r="E78" i="7"/>
  <c r="K84" i="7"/>
  <c r="E103" i="7"/>
  <c r="E147" i="7"/>
  <c r="E150" i="7"/>
  <c r="E52" i="7"/>
  <c r="O59" i="7"/>
  <c r="E77" i="7"/>
  <c r="E102" i="7"/>
  <c r="E43" i="7"/>
  <c r="E49" i="7"/>
  <c r="E101" i="7"/>
  <c r="L106" i="9" l="1"/>
  <c r="M106" i="9"/>
  <c r="N106" i="9"/>
  <c r="O106" i="9"/>
  <c r="P106" i="9" s="1"/>
  <c r="P105" i="9"/>
  <c r="P48" i="7"/>
  <c r="K66" i="7"/>
  <c r="P120" i="7"/>
  <c r="K20" i="7"/>
  <c r="P59" i="7"/>
  <c r="P140" i="7"/>
  <c r="P25" i="7"/>
  <c r="P121" i="7"/>
  <c r="K19" i="7"/>
  <c r="K90" i="7"/>
  <c r="P93" i="7"/>
  <c r="K31" i="7"/>
  <c r="P141" i="7"/>
  <c r="P123" i="7"/>
  <c r="P143" i="7"/>
  <c r="P114" i="7"/>
  <c r="P138" i="7"/>
  <c r="K69" i="7"/>
  <c r="P126" i="7"/>
  <c r="P96" i="7"/>
  <c r="P94" i="7"/>
  <c r="P19" i="7"/>
  <c r="P69" i="7"/>
  <c r="P76" i="7"/>
  <c r="P20" i="7"/>
  <c r="P56" i="7"/>
  <c r="P119" i="7"/>
  <c r="P127" i="7"/>
  <c r="K17" i="7"/>
  <c r="P81" i="7"/>
  <c r="P116" i="7"/>
  <c r="P57" i="7"/>
  <c r="P55" i="7"/>
  <c r="P80" i="7"/>
  <c r="P33" i="7"/>
  <c r="P74" i="7"/>
  <c r="P37" i="7"/>
  <c r="L52" i="7"/>
  <c r="M52" i="7"/>
  <c r="N52" i="7"/>
  <c r="O52" i="7"/>
  <c r="N77" i="7"/>
  <c r="O77" i="7"/>
  <c r="L77" i="7"/>
  <c r="M77" i="7"/>
  <c r="M46" i="7"/>
  <c r="N46" i="7"/>
  <c r="O46" i="7"/>
  <c r="L46" i="7"/>
  <c r="M124" i="7"/>
  <c r="N124" i="7"/>
  <c r="O124" i="7"/>
  <c r="L124" i="7"/>
  <c r="L87" i="7"/>
  <c r="M87" i="7"/>
  <c r="N87" i="7"/>
  <c r="O87" i="7"/>
  <c r="L103" i="7"/>
  <c r="M103" i="7"/>
  <c r="N103" i="7"/>
  <c r="O103" i="7"/>
  <c r="M44" i="7"/>
  <c r="N44" i="7"/>
  <c r="O44" i="7"/>
  <c r="L44" i="7"/>
  <c r="N110" i="7"/>
  <c r="L110" i="7"/>
  <c r="M110" i="7"/>
  <c r="O110" i="7"/>
  <c r="N60" i="7"/>
  <c r="O60" i="7"/>
  <c r="L60" i="7"/>
  <c r="M60" i="7"/>
  <c r="M64" i="7"/>
  <c r="N64" i="7"/>
  <c r="O64" i="7"/>
  <c r="L64" i="7"/>
  <c r="K48" i="7"/>
  <c r="N79" i="7"/>
  <c r="O79" i="7"/>
  <c r="L79" i="7"/>
  <c r="M79" i="7"/>
  <c r="P146" i="7"/>
  <c r="N84" i="7"/>
  <c r="P84" i="7" s="1"/>
  <c r="P41" i="7"/>
  <c r="P145" i="7"/>
  <c r="P75" i="7"/>
  <c r="P82" i="7"/>
  <c r="P113" i="7"/>
  <c r="L148" i="7"/>
  <c r="M148" i="7"/>
  <c r="N148" i="7"/>
  <c r="O148" i="7"/>
  <c r="P85" i="7"/>
  <c r="O73" i="7"/>
  <c r="L73" i="7"/>
  <c r="M73" i="7"/>
  <c r="N73" i="7"/>
  <c r="P39" i="7"/>
  <c r="P67" i="7"/>
  <c r="N42" i="7"/>
  <c r="O42" i="7"/>
  <c r="L42" i="7"/>
  <c r="M42" i="7"/>
  <c r="N109" i="7"/>
  <c r="O109" i="7"/>
  <c r="L109" i="7"/>
  <c r="M109" i="7"/>
  <c r="K130" i="7"/>
  <c r="N130" i="7"/>
  <c r="P130" i="7" s="1"/>
  <c r="N61" i="7"/>
  <c r="O61" i="7"/>
  <c r="L61" i="7"/>
  <c r="M61" i="7"/>
  <c r="K139" i="7"/>
  <c r="O139" i="7"/>
  <c r="P139" i="7" s="1"/>
  <c r="K136" i="7"/>
  <c r="O136" i="7"/>
  <c r="P136" i="7" s="1"/>
  <c r="K24" i="7"/>
  <c r="N105" i="7"/>
  <c r="P105" i="7" s="1"/>
  <c r="M45" i="7"/>
  <c r="N45" i="7"/>
  <c r="O45" i="7"/>
  <c r="L45" i="7"/>
  <c r="P71" i="7"/>
  <c r="M51" i="7"/>
  <c r="N51" i="7"/>
  <c r="O51" i="7"/>
  <c r="L51" i="7"/>
  <c r="P149" i="7"/>
  <c r="P107" i="7"/>
  <c r="P92" i="7"/>
  <c r="K115" i="7"/>
  <c r="O115" i="7"/>
  <c r="P115" i="7" s="1"/>
  <c r="P35" i="7"/>
  <c r="P95" i="7"/>
  <c r="K25" i="7"/>
  <c r="K122" i="7"/>
  <c r="O122" i="7"/>
  <c r="P122" i="7" s="1"/>
  <c r="M49" i="7"/>
  <c r="N49" i="7"/>
  <c r="O49" i="7"/>
  <c r="L49" i="7"/>
  <c r="L102" i="7"/>
  <c r="M102" i="7"/>
  <c r="N102" i="7"/>
  <c r="O102" i="7"/>
  <c r="L150" i="7"/>
  <c r="M150" i="7"/>
  <c r="N150" i="7"/>
  <c r="O150" i="7"/>
  <c r="N78" i="7"/>
  <c r="O78" i="7"/>
  <c r="L78" i="7"/>
  <c r="M78" i="7"/>
  <c r="O132" i="7"/>
  <c r="L132" i="7"/>
  <c r="M132" i="7"/>
  <c r="N132" i="7"/>
  <c r="M125" i="7"/>
  <c r="N125" i="7"/>
  <c r="O125" i="7"/>
  <c r="L125" i="7"/>
  <c r="O88" i="7"/>
  <c r="L88" i="7"/>
  <c r="M88" i="7"/>
  <c r="N88" i="7"/>
  <c r="N63" i="7"/>
  <c r="O63" i="7"/>
  <c r="L63" i="7"/>
  <c r="M63" i="7"/>
  <c r="K128" i="7"/>
  <c r="O128" i="7"/>
  <c r="P128" i="7" s="1"/>
  <c r="P99" i="7"/>
  <c r="P83" i="7"/>
  <c r="P34" i="7"/>
  <c r="P118" i="7"/>
  <c r="P144" i="7"/>
  <c r="M97" i="7"/>
  <c r="N97" i="7"/>
  <c r="O97" i="7"/>
  <c r="L97" i="7"/>
  <c r="P68" i="7"/>
  <c r="P32" i="7"/>
  <c r="P131" i="7"/>
  <c r="P142" i="7"/>
  <c r="O100" i="7"/>
  <c r="P100" i="7" s="1"/>
  <c r="N108" i="7"/>
  <c r="O108" i="7"/>
  <c r="L108" i="7"/>
  <c r="M108" i="7"/>
  <c r="P98" i="7"/>
  <c r="P26" i="7"/>
  <c r="P91" i="7"/>
  <c r="K93" i="7"/>
  <c r="L101" i="7"/>
  <c r="M101" i="7"/>
  <c r="N101" i="7"/>
  <c r="O101" i="7"/>
  <c r="N43" i="7"/>
  <c r="O43" i="7"/>
  <c r="L43" i="7"/>
  <c r="M43" i="7"/>
  <c r="M147" i="7"/>
  <c r="N147" i="7"/>
  <c r="O147" i="7"/>
  <c r="L147" i="7"/>
  <c r="K112" i="7"/>
  <c r="O112" i="7"/>
  <c r="P112" i="7" s="1"/>
  <c r="L53" i="7"/>
  <c r="M53" i="7"/>
  <c r="N53" i="7"/>
  <c r="O53" i="7"/>
  <c r="N62" i="7"/>
  <c r="O62" i="7"/>
  <c r="L62" i="7"/>
  <c r="M62" i="7"/>
  <c r="N129" i="7"/>
  <c r="P129" i="7" s="1"/>
  <c r="O54" i="7"/>
  <c r="P54" i="7" s="1"/>
  <c r="K54" i="7"/>
  <c r="P117" i="7"/>
  <c r="P137" i="7"/>
  <c r="P106" i="7"/>
  <c r="L86" i="7"/>
  <c r="M86" i="7"/>
  <c r="N86" i="7"/>
  <c r="O86" i="7"/>
  <c r="P72" i="7"/>
  <c r="P70" i="7"/>
  <c r="P38" i="7"/>
  <c r="P90" i="9"/>
  <c r="P107" i="9"/>
  <c r="P103" i="9"/>
  <c r="P119" i="9"/>
  <c r="P85" i="9"/>
  <c r="E25" i="9"/>
  <c r="O25" i="9" s="1"/>
  <c r="P61" i="9"/>
  <c r="P21" i="9"/>
  <c r="M108" i="9"/>
  <c r="N108" i="9"/>
  <c r="L108" i="9"/>
  <c r="O108" i="9"/>
  <c r="L109" i="9"/>
  <c r="M109" i="9"/>
  <c r="O109" i="9"/>
  <c r="N109" i="9"/>
  <c r="L25" i="9"/>
  <c r="M25" i="9"/>
  <c r="N25" i="9"/>
  <c r="N63" i="9"/>
  <c r="O63" i="9"/>
  <c r="L63" i="9"/>
  <c r="M63" i="9"/>
  <c r="P95" i="9"/>
  <c r="P20" i="9"/>
  <c r="O24" i="9"/>
  <c r="L24" i="9"/>
  <c r="M24" i="9"/>
  <c r="N24" i="9"/>
  <c r="P74" i="9"/>
  <c r="P94" i="9"/>
  <c r="L76" i="9"/>
  <c r="M76" i="9"/>
  <c r="O76" i="9"/>
  <c r="N76" i="9"/>
  <c r="L75" i="9"/>
  <c r="M75" i="9"/>
  <c r="N75" i="9"/>
  <c r="O75" i="9"/>
  <c r="P72" i="9"/>
  <c r="P91" i="9"/>
  <c r="O26" i="9"/>
  <c r="L26" i="9"/>
  <c r="M26" i="9"/>
  <c r="N26" i="9"/>
  <c r="N64" i="9"/>
  <c r="O64" i="9"/>
  <c r="L64" i="9"/>
  <c r="M64" i="9"/>
  <c r="P84" i="9"/>
  <c r="P44" i="9"/>
  <c r="P96" i="9"/>
  <c r="P19" i="9"/>
  <c r="P62" i="9"/>
  <c r="P71" i="9"/>
  <c r="P22" i="9"/>
  <c r="P102" i="9"/>
  <c r="P86" i="9"/>
  <c r="L23" i="9"/>
  <c r="M23" i="9"/>
  <c r="N23" i="9"/>
  <c r="O23" i="9"/>
  <c r="P70" i="9"/>
  <c r="P60" i="9"/>
  <c r="K23" i="7"/>
  <c r="K21" i="7"/>
  <c r="K59" i="7"/>
  <c r="E152" i="7"/>
  <c r="E151" i="7"/>
  <c r="E134" i="7"/>
  <c r="E133" i="7"/>
  <c r="K29" i="7"/>
  <c r="K27" i="7"/>
  <c r="P150" i="7" l="1"/>
  <c r="P102" i="7"/>
  <c r="P88" i="7"/>
  <c r="P132" i="7"/>
  <c r="P51" i="7"/>
  <c r="P79" i="7"/>
  <c r="P64" i="7"/>
  <c r="P44" i="7"/>
  <c r="P110" i="7"/>
  <c r="P77" i="7"/>
  <c r="P62" i="7"/>
  <c r="P43" i="7"/>
  <c r="P108" i="7"/>
  <c r="P63" i="7"/>
  <c r="P125" i="7"/>
  <c r="P49" i="7"/>
  <c r="P103" i="7"/>
  <c r="O152" i="7"/>
  <c r="L152" i="7"/>
  <c r="M152" i="7"/>
  <c r="N152" i="7"/>
  <c r="P97" i="7"/>
  <c r="O133" i="7"/>
  <c r="L133" i="7"/>
  <c r="M133" i="7"/>
  <c r="N133" i="7"/>
  <c r="P78" i="7"/>
  <c r="P61" i="7"/>
  <c r="P60" i="7"/>
  <c r="P87" i="7"/>
  <c r="P52" i="7"/>
  <c r="O134" i="7"/>
  <c r="L134" i="7"/>
  <c r="M134" i="7"/>
  <c r="N134" i="7"/>
  <c r="P86" i="7"/>
  <c r="P147" i="7"/>
  <c r="P101" i="7"/>
  <c r="P45" i="7"/>
  <c r="P42" i="7"/>
  <c r="P73" i="7"/>
  <c r="P124" i="7"/>
  <c r="P46" i="7"/>
  <c r="P109" i="7"/>
  <c r="P148" i="7"/>
  <c r="L151" i="7"/>
  <c r="M151" i="7"/>
  <c r="N151" i="7"/>
  <c r="O151" i="7"/>
  <c r="P53" i="7"/>
  <c r="P75" i="9"/>
  <c r="P76" i="9"/>
  <c r="P25" i="9"/>
  <c r="P108" i="9"/>
  <c r="P23" i="9"/>
  <c r="P64" i="9"/>
  <c r="P26" i="9"/>
  <c r="P24" i="9"/>
  <c r="P109" i="9"/>
  <c r="P63" i="9"/>
  <c r="P133" i="7" l="1"/>
  <c r="P151" i="7"/>
  <c r="P134" i="7"/>
  <c r="P152" i="7"/>
  <c r="E27" i="6"/>
  <c r="L27" i="6" s="1"/>
  <c r="E26" i="6"/>
  <c r="O26" i="6" s="1"/>
  <c r="E25" i="6"/>
  <c r="N25" i="6" s="1"/>
  <c r="E24" i="6"/>
  <c r="O24" i="6" s="1"/>
  <c r="L23" i="6"/>
  <c r="N23" i="6"/>
  <c r="L24" i="6"/>
  <c r="N24" i="6"/>
  <c r="L25" i="6"/>
  <c r="O25" i="6"/>
  <c r="L26" i="6"/>
  <c r="N26" i="6"/>
  <c r="N27" i="6"/>
  <c r="O27" i="6"/>
  <c r="L31" i="6"/>
  <c r="N31" i="6"/>
  <c r="O31" i="6"/>
  <c r="L32" i="6"/>
  <c r="N32" i="6"/>
  <c r="O32" i="6"/>
  <c r="L34" i="6"/>
  <c r="N34" i="6"/>
  <c r="O34" i="6"/>
  <c r="L35" i="6"/>
  <c r="N35" i="6"/>
  <c r="O35" i="6"/>
  <c r="L36" i="6"/>
  <c r="N36" i="6"/>
  <c r="O36" i="6"/>
  <c r="L37" i="6"/>
  <c r="N37" i="6"/>
  <c r="O37" i="6"/>
  <c r="L40" i="6"/>
  <c r="N40" i="6"/>
  <c r="O40" i="6"/>
  <c r="L41" i="6"/>
  <c r="N41" i="6"/>
  <c r="O41" i="6"/>
  <c r="H43" i="6"/>
  <c r="K43" i="6" s="1"/>
  <c r="E43" i="6"/>
  <c r="H42" i="6"/>
  <c r="K42" i="6" s="1"/>
  <c r="E42" i="6"/>
  <c r="H41" i="6"/>
  <c r="K41" i="6" s="1"/>
  <c r="H40" i="6"/>
  <c r="K40" i="6" s="1"/>
  <c r="H38" i="6"/>
  <c r="K38" i="6" s="1"/>
  <c r="E38" i="6"/>
  <c r="H37" i="6"/>
  <c r="K37" i="6" s="1"/>
  <c r="H36" i="6"/>
  <c r="M36" i="6" s="1"/>
  <c r="H35" i="6"/>
  <c r="K35" i="6" s="1"/>
  <c r="H34" i="6"/>
  <c r="H33" i="6"/>
  <c r="K33" i="6" s="1"/>
  <c r="O33" i="6"/>
  <c r="H32" i="6"/>
  <c r="K32" i="6" s="1"/>
  <c r="H31" i="6"/>
  <c r="K31" i="6" s="1"/>
  <c r="H29" i="6"/>
  <c r="K29" i="6" s="1"/>
  <c r="E29" i="6"/>
  <c r="L29" i="6" s="1"/>
  <c r="H28" i="6"/>
  <c r="K28" i="6" s="1"/>
  <c r="H27" i="6"/>
  <c r="K27" i="6" s="1"/>
  <c r="H26" i="6"/>
  <c r="K26" i="6" s="1"/>
  <c r="H25" i="6"/>
  <c r="K25" i="6" s="1"/>
  <c r="H24" i="6"/>
  <c r="K24" i="6" s="1"/>
  <c r="H23" i="6"/>
  <c r="M23" i="6" s="1"/>
  <c r="H22" i="6"/>
  <c r="M22" i="6" s="1"/>
  <c r="H21" i="6"/>
  <c r="M21" i="6" s="1"/>
  <c r="H20" i="6"/>
  <c r="M20" i="6" s="1"/>
  <c r="N19" i="6"/>
  <c r="H18" i="6"/>
  <c r="M18" i="6" s="1"/>
  <c r="H17" i="6"/>
  <c r="M17" i="6" s="1"/>
  <c r="H16" i="6"/>
  <c r="M16" i="6" s="1"/>
  <c r="H15" i="6"/>
  <c r="L16" i="5"/>
  <c r="N16" i="5"/>
  <c r="L17" i="5"/>
  <c r="N17" i="5"/>
  <c r="O17" i="5"/>
  <c r="L18" i="5"/>
  <c r="N18" i="5"/>
  <c r="O18" i="5"/>
  <c r="L23" i="5"/>
  <c r="N23" i="5"/>
  <c r="L34" i="5"/>
  <c r="N34" i="5"/>
  <c r="K46" i="5"/>
  <c r="E46" i="5"/>
  <c r="K45" i="5"/>
  <c r="K44" i="5"/>
  <c r="K43" i="5"/>
  <c r="H42" i="5"/>
  <c r="K41" i="5"/>
  <c r="K40" i="5"/>
  <c r="K39" i="5"/>
  <c r="K38" i="5"/>
  <c r="H37" i="5"/>
  <c r="K36" i="5"/>
  <c r="K35" i="5"/>
  <c r="H34" i="5"/>
  <c r="M34" i="5" s="1"/>
  <c r="K32" i="5"/>
  <c r="K31" i="5"/>
  <c r="H30" i="5"/>
  <c r="K29" i="5"/>
  <c r="K28" i="5"/>
  <c r="K27" i="5"/>
  <c r="H26" i="5"/>
  <c r="E26" i="5"/>
  <c r="E30" i="5" s="1"/>
  <c r="M30" i="5" s="1"/>
  <c r="K25" i="5"/>
  <c r="E25" i="5"/>
  <c r="N25" i="5" s="1"/>
  <c r="K24" i="5"/>
  <c r="E24" i="5"/>
  <c r="H23" i="5"/>
  <c r="O23" i="5" s="1"/>
  <c r="K22" i="5"/>
  <c r="K21" i="5"/>
  <c r="H20" i="5"/>
  <c r="E20" i="5"/>
  <c r="E40" i="5" s="1"/>
  <c r="H18" i="5"/>
  <c r="K18" i="5" s="1"/>
  <c r="H17" i="5"/>
  <c r="M17" i="5" s="1"/>
  <c r="H16" i="5"/>
  <c r="M16" i="5" s="1"/>
  <c r="H15" i="5"/>
  <c r="K15" i="5" s="1"/>
  <c r="C50" i="5"/>
  <c r="C55" i="5"/>
  <c r="C58" i="5"/>
  <c r="L16" i="4"/>
  <c r="N16" i="4"/>
  <c r="L17" i="4"/>
  <c r="N17" i="4"/>
  <c r="L18" i="4"/>
  <c r="N18" i="4"/>
  <c r="L19" i="4"/>
  <c r="N19" i="4"/>
  <c r="L20" i="4"/>
  <c r="N20" i="4"/>
  <c r="O20" i="4"/>
  <c r="L21" i="4"/>
  <c r="N21" i="4"/>
  <c r="O21" i="4"/>
  <c r="L22" i="4"/>
  <c r="N22" i="4"/>
  <c r="L23" i="4"/>
  <c r="N23" i="4"/>
  <c r="L24" i="4"/>
  <c r="N24" i="4"/>
  <c r="L25" i="4"/>
  <c r="N25" i="4"/>
  <c r="L26" i="4"/>
  <c r="N26" i="4"/>
  <c r="L27" i="4"/>
  <c r="N27" i="4"/>
  <c r="L28" i="4"/>
  <c r="N28" i="4"/>
  <c r="L29" i="4"/>
  <c r="N29" i="4"/>
  <c r="O29" i="4"/>
  <c r="L30" i="4"/>
  <c r="N30" i="4"/>
  <c r="O30" i="4"/>
  <c r="L32" i="4"/>
  <c r="N32" i="4"/>
  <c r="L33" i="4"/>
  <c r="N33" i="4"/>
  <c r="L34" i="4"/>
  <c r="N34" i="4"/>
  <c r="L35" i="4"/>
  <c r="N35" i="4"/>
  <c r="L36" i="4"/>
  <c r="N36" i="4"/>
  <c r="L37" i="4"/>
  <c r="N37" i="4"/>
  <c r="O37" i="4"/>
  <c r="L38" i="4"/>
  <c r="N38" i="4"/>
  <c r="L39" i="4"/>
  <c r="N39" i="4"/>
  <c r="L40" i="4"/>
  <c r="N40" i="4"/>
  <c r="L41" i="4"/>
  <c r="N41" i="4"/>
  <c r="O41" i="4"/>
  <c r="L42" i="4"/>
  <c r="N42" i="4"/>
  <c r="O42" i="4"/>
  <c r="L44" i="4"/>
  <c r="N44" i="4"/>
  <c r="L45" i="4"/>
  <c r="N45" i="4"/>
  <c r="L46" i="4"/>
  <c r="N46" i="4"/>
  <c r="L47" i="4"/>
  <c r="N47" i="4"/>
  <c r="L48" i="4"/>
  <c r="N48" i="4"/>
  <c r="L49" i="4"/>
  <c r="N49" i="4"/>
  <c r="L50" i="4"/>
  <c r="N50" i="4"/>
  <c r="L51" i="4"/>
  <c r="N51" i="4"/>
  <c r="L52" i="4"/>
  <c r="N52" i="4"/>
  <c r="L53" i="4"/>
  <c r="N53" i="4"/>
  <c r="O53" i="4"/>
  <c r="L54" i="4"/>
  <c r="N54" i="4"/>
  <c r="L55" i="4"/>
  <c r="N55" i="4"/>
  <c r="O55" i="4"/>
  <c r="L56" i="4"/>
  <c r="N56" i="4"/>
  <c r="L57" i="4"/>
  <c r="N57" i="4"/>
  <c r="L58" i="4"/>
  <c r="N58" i="4"/>
  <c r="L59" i="4"/>
  <c r="N59" i="4"/>
  <c r="L60" i="4"/>
  <c r="N60" i="4"/>
  <c r="L61" i="4"/>
  <c r="N61" i="4"/>
  <c r="L62" i="4"/>
  <c r="N62" i="4"/>
  <c r="L63" i="4"/>
  <c r="M63" i="4"/>
  <c r="N63" i="4"/>
  <c r="O63" i="4"/>
  <c r="P63" i="4"/>
  <c r="L64" i="4"/>
  <c r="N64" i="4"/>
  <c r="L65" i="4"/>
  <c r="N65" i="4"/>
  <c r="O65" i="4"/>
  <c r="L66" i="4"/>
  <c r="N66" i="4"/>
  <c r="L67" i="4"/>
  <c r="N67" i="4"/>
  <c r="L68" i="4"/>
  <c r="N68" i="4"/>
  <c r="O68" i="4"/>
  <c r="L69" i="4"/>
  <c r="N69" i="4"/>
  <c r="O69" i="4"/>
  <c r="L71" i="4"/>
  <c r="N71" i="4"/>
  <c r="L72" i="4"/>
  <c r="N72" i="4"/>
  <c r="L73" i="4"/>
  <c r="N73" i="4"/>
  <c r="L74" i="4"/>
  <c r="N74" i="4"/>
  <c r="L75" i="4"/>
  <c r="N75" i="4"/>
  <c r="L76" i="4"/>
  <c r="N76" i="4"/>
  <c r="L77" i="4"/>
  <c r="N77" i="4"/>
  <c r="O77" i="4"/>
  <c r="L78" i="4"/>
  <c r="N78" i="4"/>
  <c r="L79" i="4"/>
  <c r="N79" i="4"/>
  <c r="L80" i="4"/>
  <c r="N80" i="4"/>
  <c r="O80" i="4"/>
  <c r="L81" i="4"/>
  <c r="N81" i="4"/>
  <c r="L82" i="4"/>
  <c r="N82" i="4"/>
  <c r="L83" i="4"/>
  <c r="N83" i="4"/>
  <c r="L84" i="4"/>
  <c r="M84" i="4"/>
  <c r="N84" i="4"/>
  <c r="O84" i="4"/>
  <c r="L85" i="4"/>
  <c r="N85" i="4"/>
  <c r="L86" i="4"/>
  <c r="N86" i="4"/>
  <c r="O86" i="4"/>
  <c r="L87" i="4"/>
  <c r="N87" i="4"/>
  <c r="O87" i="4"/>
  <c r="L88" i="4"/>
  <c r="N88" i="4"/>
  <c r="L89" i="4"/>
  <c r="N89" i="4"/>
  <c r="L90" i="4"/>
  <c r="N90" i="4"/>
  <c r="L91" i="4"/>
  <c r="N91" i="4"/>
  <c r="L92" i="4"/>
  <c r="N92" i="4"/>
  <c r="O92" i="4"/>
  <c r="L93" i="4"/>
  <c r="N93" i="4"/>
  <c r="O93" i="4"/>
  <c r="H93" i="4"/>
  <c r="H92" i="4"/>
  <c r="K92" i="4" s="1"/>
  <c r="H91" i="4"/>
  <c r="K91" i="4" s="1"/>
  <c r="H90" i="4"/>
  <c r="M90" i="4" s="1"/>
  <c r="H89" i="4"/>
  <c r="M89" i="4" s="1"/>
  <c r="H88" i="4"/>
  <c r="K88" i="4" s="1"/>
  <c r="H87" i="4"/>
  <c r="H86" i="4"/>
  <c r="H85" i="4"/>
  <c r="M85" i="4" s="1"/>
  <c r="K84" i="4"/>
  <c r="H83" i="4"/>
  <c r="O83" i="4" s="1"/>
  <c r="H82" i="4"/>
  <c r="M82" i="4" s="1"/>
  <c r="H81" i="4"/>
  <c r="K81" i="4" s="1"/>
  <c r="H80" i="4"/>
  <c r="K80" i="4" s="1"/>
  <c r="H79" i="4"/>
  <c r="O79" i="4" s="1"/>
  <c r="H78" i="4"/>
  <c r="M78" i="4" s="1"/>
  <c r="H77" i="4"/>
  <c r="K77" i="4" s="1"/>
  <c r="H76" i="4"/>
  <c r="K76" i="4" s="1"/>
  <c r="H75" i="4"/>
  <c r="O75" i="4" s="1"/>
  <c r="H74" i="4"/>
  <c r="M74" i="4" s="1"/>
  <c r="H73" i="4"/>
  <c r="H72" i="4"/>
  <c r="H71" i="4"/>
  <c r="O71" i="4" s="1"/>
  <c r="H69" i="4"/>
  <c r="K69" i="4" s="1"/>
  <c r="H68" i="4"/>
  <c r="K68" i="4" s="1"/>
  <c r="H67" i="4"/>
  <c r="M67" i="4" s="1"/>
  <c r="H66" i="4"/>
  <c r="K66" i="4" s="1"/>
  <c r="H65" i="4"/>
  <c r="K65" i="4" s="1"/>
  <c r="H64" i="4"/>
  <c r="O64" i="4" s="1"/>
  <c r="K63" i="4"/>
  <c r="H62" i="4"/>
  <c r="K62" i="4" s="1"/>
  <c r="H61" i="4"/>
  <c r="M61" i="4" s="1"/>
  <c r="H60" i="4"/>
  <c r="M60" i="4" s="1"/>
  <c r="H59" i="4"/>
  <c r="H58" i="4"/>
  <c r="K58" i="4" s="1"/>
  <c r="H57" i="4"/>
  <c r="M57" i="4" s="1"/>
  <c r="H56" i="4"/>
  <c r="M56" i="4" s="1"/>
  <c r="H55" i="4"/>
  <c r="K55" i="4" s="1"/>
  <c r="H54" i="4"/>
  <c r="M54" i="4" s="1"/>
  <c r="H53" i="4"/>
  <c r="H52" i="4"/>
  <c r="M52" i="4" s="1"/>
  <c r="H51" i="4"/>
  <c r="K51" i="4" s="1"/>
  <c r="H50" i="4"/>
  <c r="K50" i="4" s="1"/>
  <c r="H49" i="4"/>
  <c r="M49" i="4" s="1"/>
  <c r="H48" i="4"/>
  <c r="M48" i="4" s="1"/>
  <c r="H47" i="4"/>
  <c r="M47" i="4" s="1"/>
  <c r="H46" i="4"/>
  <c r="K46" i="4" s="1"/>
  <c r="H45" i="4"/>
  <c r="K45" i="4" s="1"/>
  <c r="H44" i="4"/>
  <c r="O44" i="4" s="1"/>
  <c r="H42" i="4"/>
  <c r="K42" i="4" s="1"/>
  <c r="H41" i="4"/>
  <c r="K41" i="4" s="1"/>
  <c r="H40" i="4"/>
  <c r="M40" i="4" s="1"/>
  <c r="H39" i="4"/>
  <c r="K39" i="4" s="1"/>
  <c r="H38" i="4"/>
  <c r="M38" i="4" s="1"/>
  <c r="H37" i="4"/>
  <c r="H36" i="4"/>
  <c r="M36" i="4" s="1"/>
  <c r="H35" i="4"/>
  <c r="H34" i="4"/>
  <c r="K34" i="4" s="1"/>
  <c r="H33" i="4"/>
  <c r="M33" i="4" s="1"/>
  <c r="H32" i="4"/>
  <c r="M32" i="4" s="1"/>
  <c r="H30" i="4"/>
  <c r="H29" i="4"/>
  <c r="K29" i="4" s="1"/>
  <c r="H28" i="4"/>
  <c r="H27" i="4"/>
  <c r="K27" i="4" s="1"/>
  <c r="H26" i="4"/>
  <c r="M26" i="4" s="1"/>
  <c r="H25" i="4"/>
  <c r="K25" i="4" s="1"/>
  <c r="H24" i="4"/>
  <c r="O24" i="4" s="1"/>
  <c r="H23" i="4"/>
  <c r="M23" i="4" s="1"/>
  <c r="H22" i="4"/>
  <c r="H21" i="4"/>
  <c r="K21" i="4" s="1"/>
  <c r="H20" i="4"/>
  <c r="H19" i="4"/>
  <c r="M19" i="4" s="1"/>
  <c r="H18" i="4"/>
  <c r="M18" i="4" s="1"/>
  <c r="H17" i="4"/>
  <c r="H16" i="4"/>
  <c r="O16" i="4" s="1"/>
  <c r="H15" i="4"/>
  <c r="L29" i="3"/>
  <c r="N29" i="3"/>
  <c r="O29" i="3"/>
  <c r="L30" i="3"/>
  <c r="N30" i="3"/>
  <c r="O30" i="3"/>
  <c r="L31" i="3"/>
  <c r="M31" i="3"/>
  <c r="N31" i="3"/>
  <c r="O31" i="3"/>
  <c r="L32" i="3"/>
  <c r="M32" i="3"/>
  <c r="N32" i="3"/>
  <c r="O32" i="3"/>
  <c r="K37" i="3"/>
  <c r="K36" i="3"/>
  <c r="E36" i="3"/>
  <c r="K35" i="3"/>
  <c r="E35" i="3"/>
  <c r="K34" i="3"/>
  <c r="E34" i="3"/>
  <c r="K33" i="3"/>
  <c r="E33" i="3"/>
  <c r="K32" i="3"/>
  <c r="H30" i="3"/>
  <c r="K30" i="3" s="1"/>
  <c r="H29" i="3"/>
  <c r="K29" i="3" s="1"/>
  <c r="H28" i="3"/>
  <c r="K28" i="3" s="1"/>
  <c r="H27" i="3"/>
  <c r="K27" i="3" s="1"/>
  <c r="H26" i="3"/>
  <c r="K26" i="3" s="1"/>
  <c r="H25" i="3"/>
  <c r="K25" i="3" s="1"/>
  <c r="H24" i="3"/>
  <c r="K24" i="3" s="1"/>
  <c r="H23" i="3"/>
  <c r="K23" i="3" s="1"/>
  <c r="H22" i="3"/>
  <c r="K22" i="3" s="1"/>
  <c r="H21" i="3"/>
  <c r="K21" i="3" s="1"/>
  <c r="H20" i="3"/>
  <c r="K20" i="3" s="1"/>
  <c r="H19" i="3"/>
  <c r="K19" i="3" s="1"/>
  <c r="H18" i="3"/>
  <c r="K18" i="3" s="1"/>
  <c r="H17" i="3"/>
  <c r="K17" i="3" s="1"/>
  <c r="H16" i="3"/>
  <c r="K16" i="3" s="1"/>
  <c r="H15" i="3"/>
  <c r="K15" i="3" s="1"/>
  <c r="E37" i="3" l="1"/>
  <c r="L33" i="3"/>
  <c r="M33" i="3"/>
  <c r="N33" i="3"/>
  <c r="O33" i="3"/>
  <c r="L34" i="3"/>
  <c r="M34" i="3"/>
  <c r="N34" i="3"/>
  <c r="O34" i="3"/>
  <c r="L35" i="3"/>
  <c r="M35" i="3"/>
  <c r="N35" i="3"/>
  <c r="O35" i="3"/>
  <c r="L36" i="3"/>
  <c r="M36" i="3"/>
  <c r="N36" i="3"/>
  <c r="O36" i="3"/>
  <c r="P36" i="3" s="1"/>
  <c r="M17" i="4"/>
  <c r="K17" i="4"/>
  <c r="M22" i="4"/>
  <c r="K22" i="4"/>
  <c r="K28" i="4"/>
  <c r="M28" i="4"/>
  <c r="K30" i="4"/>
  <c r="M30" i="4"/>
  <c r="K35" i="4"/>
  <c r="M35" i="4"/>
  <c r="K59" i="4"/>
  <c r="M59" i="4"/>
  <c r="K72" i="4"/>
  <c r="M72" i="4"/>
  <c r="K73" i="4"/>
  <c r="M73" i="4"/>
  <c r="M87" i="4"/>
  <c r="K87" i="4"/>
  <c r="K93" i="4"/>
  <c r="M93" i="4"/>
  <c r="N24" i="5"/>
  <c r="M24" i="5"/>
  <c r="M46" i="5"/>
  <c r="L46" i="5"/>
  <c r="M34" i="6"/>
  <c r="K34" i="6"/>
  <c r="L42" i="6"/>
  <c r="N42" i="6"/>
  <c r="L43" i="6"/>
  <c r="N43" i="6"/>
  <c r="M38" i="6"/>
  <c r="K36" i="6"/>
  <c r="P84" i="4"/>
  <c r="P87" i="4"/>
  <c r="M91" i="4"/>
  <c r="M88" i="4"/>
  <c r="O81" i="4"/>
  <c r="M86" i="4"/>
  <c r="P86" i="4" s="1"/>
  <c r="M92" i="4"/>
  <c r="P92" i="4" s="1"/>
  <c r="P93" i="4"/>
  <c r="O91" i="4"/>
  <c r="P91" i="4" s="1"/>
  <c r="O88" i="4"/>
  <c r="M83" i="4"/>
  <c r="P83" i="4" s="1"/>
  <c r="M81" i="4"/>
  <c r="P81" i="4" s="1"/>
  <c r="O76" i="4"/>
  <c r="M80" i="4"/>
  <c r="P80" i="4" s="1"/>
  <c r="M79" i="4"/>
  <c r="P79" i="4" s="1"/>
  <c r="M77" i="4"/>
  <c r="P77" i="4" s="1"/>
  <c r="M76" i="4"/>
  <c r="M75" i="4"/>
  <c r="P75" i="4" s="1"/>
  <c r="O66" i="4"/>
  <c r="M62" i="4"/>
  <c r="M71" i="4"/>
  <c r="P71" i="4" s="1"/>
  <c r="M69" i="4"/>
  <c r="P69" i="4" s="1"/>
  <c r="M68" i="4"/>
  <c r="P68" i="4" s="1"/>
  <c r="O62" i="4"/>
  <c r="O73" i="4"/>
  <c r="P73" i="4" s="1"/>
  <c r="O72" i="4"/>
  <c r="P72" i="4" s="1"/>
  <c r="M66" i="4"/>
  <c r="M65" i="4"/>
  <c r="P65" i="4" s="1"/>
  <c r="M64" i="4"/>
  <c r="P64" i="4" s="1"/>
  <c r="M58" i="4"/>
  <c r="O59" i="4"/>
  <c r="P59" i="4" s="1"/>
  <c r="O58" i="4"/>
  <c r="P58" i="4" s="1"/>
  <c r="O51" i="4"/>
  <c r="O50" i="4"/>
  <c r="M55" i="4"/>
  <c r="P55" i="4" s="1"/>
  <c r="M53" i="4"/>
  <c r="P53" i="4" s="1"/>
  <c r="M51" i="4"/>
  <c r="M50" i="4"/>
  <c r="O46" i="4"/>
  <c r="O45" i="4"/>
  <c r="O49" i="4"/>
  <c r="P49" i="4" s="1"/>
  <c r="M46" i="4"/>
  <c r="M45" i="4"/>
  <c r="M44" i="4"/>
  <c r="P44" i="4" s="1"/>
  <c r="M42" i="4"/>
  <c r="P42" i="4" s="1"/>
  <c r="M41" i="4"/>
  <c r="P41" i="4" s="1"/>
  <c r="O39" i="4"/>
  <c r="M27" i="4"/>
  <c r="M34" i="4"/>
  <c r="M29" i="4"/>
  <c r="O35" i="4"/>
  <c r="P35" i="4" s="1"/>
  <c r="O34" i="4"/>
  <c r="P34" i="4" s="1"/>
  <c r="P30" i="4"/>
  <c r="O28" i="4"/>
  <c r="P28" i="4" s="1"/>
  <c r="M39" i="4"/>
  <c r="M37" i="4"/>
  <c r="P37" i="4" s="1"/>
  <c r="P29" i="4"/>
  <c r="O27" i="4"/>
  <c r="P27" i="4" s="1"/>
  <c r="M25" i="4"/>
  <c r="M24" i="4"/>
  <c r="P24" i="4" s="1"/>
  <c r="O17" i="4"/>
  <c r="P17" i="4" s="1"/>
  <c r="M21" i="4"/>
  <c r="P21" i="4" s="1"/>
  <c r="M20" i="4"/>
  <c r="P20" i="4" s="1"/>
  <c r="O22" i="4"/>
  <c r="P22" i="4" s="1"/>
  <c r="O25" i="4"/>
  <c r="P25" i="4" s="1"/>
  <c r="M16" i="4"/>
  <c r="P16" i="4" s="1"/>
  <c r="P35" i="3"/>
  <c r="P33" i="3"/>
  <c r="P32" i="3"/>
  <c r="P31" i="3"/>
  <c r="M30" i="3"/>
  <c r="P30" i="3" s="1"/>
  <c r="M29" i="3"/>
  <c r="P29" i="3" s="1"/>
  <c r="O43" i="6"/>
  <c r="O42" i="6"/>
  <c r="L38" i="6"/>
  <c r="M37" i="6"/>
  <c r="P37" i="6" s="1"/>
  <c r="M35" i="6"/>
  <c r="N33" i="6"/>
  <c r="O29" i="6"/>
  <c r="M26" i="6"/>
  <c r="L22" i="6"/>
  <c r="L21" i="6"/>
  <c r="L20" i="6"/>
  <c r="P26" i="6"/>
  <c r="O38" i="6"/>
  <c r="M33" i="6"/>
  <c r="M32" i="6"/>
  <c r="P32" i="6" s="1"/>
  <c r="N29" i="6"/>
  <c r="L18" i="6"/>
  <c r="L17" i="6"/>
  <c r="L16" i="6"/>
  <c r="M43" i="6"/>
  <c r="P43" i="6" s="1"/>
  <c r="M42" i="6"/>
  <c r="N38" i="6"/>
  <c r="P36" i="6"/>
  <c r="P34" i="6"/>
  <c r="L33" i="6"/>
  <c r="M31" i="6"/>
  <c r="P31" i="6" s="1"/>
  <c r="M29" i="6"/>
  <c r="M27" i="6"/>
  <c r="P27" i="6" s="1"/>
  <c r="M24" i="6"/>
  <c r="N22" i="6"/>
  <c r="N21" i="6"/>
  <c r="N20" i="6"/>
  <c r="P24" i="6"/>
  <c r="E28" i="6"/>
  <c r="O28" i="6" s="1"/>
  <c r="M41" i="6"/>
  <c r="P41" i="6" s="1"/>
  <c r="M40" i="6"/>
  <c r="P40" i="6" s="1"/>
  <c r="P35" i="6"/>
  <c r="M25" i="6"/>
  <c r="N18" i="6"/>
  <c r="N17" i="6"/>
  <c r="N16" i="6"/>
  <c r="P25" i="6"/>
  <c r="N28" i="6"/>
  <c r="M28" i="6"/>
  <c r="L28" i="6"/>
  <c r="K15" i="6"/>
  <c r="M18" i="5"/>
  <c r="M26" i="5"/>
  <c r="L26" i="5"/>
  <c r="O46" i="5"/>
  <c r="L30" i="5"/>
  <c r="L24" i="5"/>
  <c r="M25" i="5"/>
  <c r="N20" i="5"/>
  <c r="E41" i="5"/>
  <c r="M40" i="5"/>
  <c r="L25" i="5"/>
  <c r="M23" i="5"/>
  <c r="P23" i="5" s="1"/>
  <c r="N46" i="5"/>
  <c r="L40" i="5"/>
  <c r="N30" i="5"/>
  <c r="O25" i="5"/>
  <c r="O24" i="5"/>
  <c r="P24" i="5" s="1"/>
  <c r="L20" i="5"/>
  <c r="N40" i="5"/>
  <c r="P17" i="5"/>
  <c r="K17" i="5"/>
  <c r="M20" i="5"/>
  <c r="O40" i="5"/>
  <c r="N26" i="5"/>
  <c r="P18" i="5"/>
  <c r="E36" i="5"/>
  <c r="K42" i="5"/>
  <c r="K26" i="5"/>
  <c r="K23" i="5"/>
  <c r="O26" i="5"/>
  <c r="K37" i="5"/>
  <c r="E31" i="5"/>
  <c r="E32" i="5"/>
  <c r="K20" i="5"/>
  <c r="E22" i="5"/>
  <c r="E28" i="5"/>
  <c r="E29" i="5"/>
  <c r="E27" i="5"/>
  <c r="E35" i="5"/>
  <c r="E37" i="5"/>
  <c r="E21" i="5"/>
  <c r="K49" i="4"/>
  <c r="K48" i="4"/>
  <c r="O48" i="4"/>
  <c r="P48" i="4" s="1"/>
  <c r="K15" i="4"/>
  <c r="K16" i="4"/>
  <c r="K20" i="4"/>
  <c r="K24" i="4"/>
  <c r="K37" i="4"/>
  <c r="K44" i="4"/>
  <c r="K53" i="4"/>
  <c r="K64" i="4"/>
  <c r="K71" i="4"/>
  <c r="K75" i="4"/>
  <c r="K79" i="4"/>
  <c r="K83" i="4"/>
  <c r="K86" i="4"/>
  <c r="P45" i="4" l="1"/>
  <c r="P46" i="4"/>
  <c r="P51" i="4"/>
  <c r="P34" i="3"/>
  <c r="L37" i="3"/>
  <c r="M37" i="3"/>
  <c r="N37" i="3"/>
  <c r="O37" i="3"/>
  <c r="P38" i="6"/>
  <c r="P28" i="6"/>
  <c r="P46" i="5"/>
  <c r="K85" i="4"/>
  <c r="O85" i="4"/>
  <c r="P85" i="4" s="1"/>
  <c r="P88" i="4"/>
  <c r="K82" i="4"/>
  <c r="O82" i="4"/>
  <c r="P82" i="4" s="1"/>
  <c r="K89" i="4"/>
  <c r="O89" i="4"/>
  <c r="P89" i="4" s="1"/>
  <c r="K90" i="4"/>
  <c r="O90" i="4"/>
  <c r="P90" i="4" s="1"/>
  <c r="P76" i="4"/>
  <c r="K78" i="4"/>
  <c r="O78" i="4"/>
  <c r="P78" i="4" s="1"/>
  <c r="K74" i="4"/>
  <c r="O74" i="4"/>
  <c r="P74" i="4" s="1"/>
  <c r="P62" i="4"/>
  <c r="K61" i="4"/>
  <c r="O61" i="4"/>
  <c r="P61" i="4" s="1"/>
  <c r="K67" i="4"/>
  <c r="O67" i="4"/>
  <c r="P67" i="4" s="1"/>
  <c r="P66" i="4"/>
  <c r="K60" i="4"/>
  <c r="O60" i="4"/>
  <c r="P60" i="4" s="1"/>
  <c r="K56" i="4"/>
  <c r="O56" i="4"/>
  <c r="P56" i="4" s="1"/>
  <c r="K57" i="4"/>
  <c r="O57" i="4"/>
  <c r="P57" i="4" s="1"/>
  <c r="K52" i="4"/>
  <c r="O52" i="4"/>
  <c r="P52" i="4" s="1"/>
  <c r="K54" i="4"/>
  <c r="O54" i="4"/>
  <c r="P54" i="4" s="1"/>
  <c r="P50" i="4"/>
  <c r="K47" i="4"/>
  <c r="O47" i="4"/>
  <c r="P47" i="4" s="1"/>
  <c r="K40" i="4"/>
  <c r="O40" i="4"/>
  <c r="P40" i="4" s="1"/>
  <c r="K32" i="4"/>
  <c r="O32" i="4"/>
  <c r="P32" i="4" s="1"/>
  <c r="P39" i="4"/>
  <c r="K36" i="4"/>
  <c r="O36" i="4"/>
  <c r="P36" i="4" s="1"/>
  <c r="K33" i="4"/>
  <c r="O33" i="4"/>
  <c r="P33" i="4" s="1"/>
  <c r="K26" i="4"/>
  <c r="O26" i="4"/>
  <c r="P26" i="4" s="1"/>
  <c r="K38" i="4"/>
  <c r="O38" i="4"/>
  <c r="P38" i="4" s="1"/>
  <c r="K19" i="4"/>
  <c r="O19" i="4"/>
  <c r="P19" i="4" s="1"/>
  <c r="K23" i="4"/>
  <c r="O23" i="4"/>
  <c r="P23" i="4" s="1"/>
  <c r="K18" i="4"/>
  <c r="O18" i="4"/>
  <c r="P18" i="4" s="1"/>
  <c r="P33" i="6"/>
  <c r="H19" i="6"/>
  <c r="L19" i="6"/>
  <c r="K16" i="6"/>
  <c r="O16" i="6"/>
  <c r="P16" i="6" s="1"/>
  <c r="K22" i="6"/>
  <c r="O22" i="6"/>
  <c r="P22" i="6" s="1"/>
  <c r="K20" i="6"/>
  <c r="O20" i="6"/>
  <c r="P20" i="6" s="1"/>
  <c r="P29" i="6"/>
  <c r="K18" i="6"/>
  <c r="O18" i="6"/>
  <c r="P18" i="6" s="1"/>
  <c r="K23" i="6"/>
  <c r="O23" i="6"/>
  <c r="P23" i="6" s="1"/>
  <c r="K17" i="6"/>
  <c r="O17" i="6"/>
  <c r="P17" i="6" s="1"/>
  <c r="P42" i="6"/>
  <c r="K21" i="6"/>
  <c r="O21" i="6"/>
  <c r="P21" i="6" s="1"/>
  <c r="P26" i="5"/>
  <c r="P25" i="5"/>
  <c r="P40" i="5"/>
  <c r="O22" i="5"/>
  <c r="M22" i="5"/>
  <c r="L22" i="5"/>
  <c r="N22" i="5"/>
  <c r="L31" i="5"/>
  <c r="N31" i="5"/>
  <c r="M31" i="5"/>
  <c r="O31" i="5"/>
  <c r="N41" i="5"/>
  <c r="M41" i="5"/>
  <c r="O41" i="5"/>
  <c r="L41" i="5"/>
  <c r="L37" i="5"/>
  <c r="O37" i="5"/>
  <c r="M37" i="5"/>
  <c r="N37" i="5"/>
  <c r="M29" i="5"/>
  <c r="O29" i="5"/>
  <c r="N29" i="5"/>
  <c r="L29" i="5"/>
  <c r="K16" i="5"/>
  <c r="O16" i="5"/>
  <c r="P16" i="5" s="1"/>
  <c r="K34" i="5"/>
  <c r="O34" i="5"/>
  <c r="P34" i="5" s="1"/>
  <c r="O20" i="5"/>
  <c r="P20" i="5" s="1"/>
  <c r="N27" i="5"/>
  <c r="L27" i="5"/>
  <c r="O27" i="5"/>
  <c r="M27" i="5"/>
  <c r="O21" i="5"/>
  <c r="M21" i="5"/>
  <c r="L21" i="5"/>
  <c r="N21" i="5"/>
  <c r="K30" i="5"/>
  <c r="O30" i="5"/>
  <c r="P30" i="5" s="1"/>
  <c r="L35" i="5"/>
  <c r="N35" i="5"/>
  <c r="M35" i="5"/>
  <c r="O35" i="5"/>
  <c r="M28" i="5"/>
  <c r="O28" i="5"/>
  <c r="N28" i="5"/>
  <c r="L28" i="5"/>
  <c r="L32" i="5"/>
  <c r="N32" i="5"/>
  <c r="M32" i="5"/>
  <c r="O32" i="5"/>
  <c r="L36" i="5"/>
  <c r="N36" i="5"/>
  <c r="M36" i="5"/>
  <c r="O36" i="5"/>
  <c r="E42" i="5"/>
  <c r="E38" i="5"/>
  <c r="E39" i="5"/>
  <c r="P37" i="3" l="1"/>
  <c r="M19" i="6"/>
  <c r="P41" i="5"/>
  <c r="P36" i="5"/>
  <c r="P32" i="5"/>
  <c r="P27" i="5"/>
  <c r="O38" i="5"/>
  <c r="M38" i="5"/>
  <c r="L38" i="5"/>
  <c r="N38" i="5"/>
  <c r="P28" i="5"/>
  <c r="P29" i="5"/>
  <c r="P37" i="5"/>
  <c r="P31" i="5"/>
  <c r="O39" i="5"/>
  <c r="M39" i="5"/>
  <c r="L39" i="5"/>
  <c r="N39" i="5"/>
  <c r="N42" i="5"/>
  <c r="L42" i="5"/>
  <c r="O42" i="5"/>
  <c r="M42" i="5"/>
  <c r="P35" i="5"/>
  <c r="P21" i="5"/>
  <c r="P22" i="5"/>
  <c r="E43" i="5"/>
  <c r="E44" i="5"/>
  <c r="E45" i="5"/>
  <c r="K19" i="6" l="1"/>
  <c r="O19" i="6"/>
  <c r="P19" i="6" s="1"/>
  <c r="P39" i="5"/>
  <c r="N43" i="5"/>
  <c r="M43" i="5"/>
  <c r="O43" i="5"/>
  <c r="L43" i="5"/>
  <c r="M45" i="5"/>
  <c r="O45" i="5"/>
  <c r="N45" i="5"/>
  <c r="L45" i="5"/>
  <c r="N44" i="5"/>
  <c r="L44" i="5"/>
  <c r="O44" i="5"/>
  <c r="M44" i="5"/>
  <c r="P42" i="5"/>
  <c r="P38" i="5"/>
  <c r="P43" i="5" l="1"/>
  <c r="P44" i="5"/>
  <c r="P45" i="5"/>
  <c r="N15" i="14" l="1"/>
  <c r="L15" i="14"/>
  <c r="M15" i="14"/>
  <c r="C45" i="14"/>
  <c r="N15" i="13"/>
  <c r="L15" i="13"/>
  <c r="L42" i="14" l="1"/>
  <c r="N42" i="14"/>
  <c r="O15" i="14"/>
  <c r="P15" i="14" l="1"/>
  <c r="P42" i="14" s="1"/>
  <c r="O42" i="14"/>
  <c r="M42" i="14"/>
  <c r="M15" i="13"/>
  <c r="O15" i="13" l="1"/>
  <c r="P15" i="13" s="1"/>
  <c r="O15" i="12"/>
  <c r="N15" i="12"/>
  <c r="L15" i="12"/>
  <c r="N15" i="11"/>
  <c r="L15" i="11"/>
  <c r="M15" i="11"/>
  <c r="C23" i="2"/>
  <c r="C24" i="2"/>
  <c r="N15" i="15"/>
  <c r="L15" i="15"/>
  <c r="M15" i="15"/>
  <c r="C60" i="15"/>
  <c r="C57" i="15"/>
  <c r="C52" i="15"/>
  <c r="C22" i="2"/>
  <c r="N15" i="10"/>
  <c r="L15" i="10"/>
  <c r="M15" i="10"/>
  <c r="L15" i="9"/>
  <c r="O15" i="9"/>
  <c r="O15" i="11" l="1"/>
  <c r="P15" i="11" s="1"/>
  <c r="O15" i="15"/>
  <c r="P15" i="15" s="1"/>
  <c r="O15" i="10"/>
  <c r="P15" i="10" s="1"/>
  <c r="M15" i="9"/>
  <c r="N15" i="9"/>
  <c r="M15" i="12" l="1"/>
  <c r="P15" i="12" s="1"/>
  <c r="P15" i="9"/>
  <c r="M49" i="15" l="1"/>
  <c r="F23" i="2" s="1"/>
  <c r="N49" i="15"/>
  <c r="L49" i="15"/>
  <c r="I23" i="2" s="1"/>
  <c r="O49" i="15"/>
  <c r="H23" i="2" s="1"/>
  <c r="P49" i="15" l="1"/>
  <c r="E23" i="2" s="1"/>
  <c r="N9" i="15" l="1"/>
  <c r="N35" i="8"/>
  <c r="O103" i="8"/>
  <c r="O99" i="8"/>
  <c r="N98" i="8"/>
  <c r="N97" i="8"/>
  <c r="L97" i="8"/>
  <c r="M97" i="8"/>
  <c r="N95" i="8"/>
  <c r="L95" i="8"/>
  <c r="M95" i="8"/>
  <c r="M93" i="8"/>
  <c r="N91" i="8"/>
  <c r="L91" i="8"/>
  <c r="M91" i="8"/>
  <c r="N80" i="8"/>
  <c r="N76" i="8"/>
  <c r="L76" i="8"/>
  <c r="O76" i="8"/>
  <c r="N75" i="8"/>
  <c r="L75" i="8"/>
  <c r="O73" i="8"/>
  <c r="M72" i="8"/>
  <c r="N71" i="8"/>
  <c r="L71" i="8"/>
  <c r="M70" i="8"/>
  <c r="N58" i="8"/>
  <c r="N56" i="8"/>
  <c r="L56" i="8"/>
  <c r="N55" i="8"/>
  <c r="L55" i="8"/>
  <c r="O53" i="8"/>
  <c r="N51" i="8"/>
  <c r="L51" i="8"/>
  <c r="M51" i="8"/>
  <c r="L50" i="8"/>
  <c r="M40" i="8"/>
  <c r="L37" i="8"/>
  <c r="N36" i="8"/>
  <c r="L36" i="8"/>
  <c r="M33" i="8"/>
  <c r="N31" i="8"/>
  <c r="L31" i="8"/>
  <c r="M31" i="8"/>
  <c r="L17" i="8"/>
  <c r="N16" i="8"/>
  <c r="L16" i="8"/>
  <c r="N15" i="8"/>
  <c r="L15" i="8"/>
  <c r="M15" i="8"/>
  <c r="M76" i="8" l="1"/>
  <c r="P76" i="8" s="1"/>
  <c r="M77" i="8"/>
  <c r="O98" i="8"/>
  <c r="M62" i="8"/>
  <c r="N60" i="8"/>
  <c r="M57" i="8"/>
  <c r="N73" i="8"/>
  <c r="M73" i="8"/>
  <c r="M79" i="8"/>
  <c r="N37" i="8"/>
  <c r="M78" i="8"/>
  <c r="O35" i="8"/>
  <c r="L58" i="8"/>
  <c r="L78" i="8"/>
  <c r="N78" i="8"/>
  <c r="L33" i="8"/>
  <c r="M35" i="8"/>
  <c r="L72" i="8"/>
  <c r="L93" i="8"/>
  <c r="M39" i="8"/>
  <c r="M53" i="8"/>
  <c r="O93" i="8"/>
  <c r="L80" i="8"/>
  <c r="L98" i="8"/>
  <c r="O97" i="8"/>
  <c r="P97" i="8" s="1"/>
  <c r="N38" i="8"/>
  <c r="L53" i="8"/>
  <c r="M98" i="8"/>
  <c r="M105" i="8"/>
  <c r="O105" i="8"/>
  <c r="N105" i="8"/>
  <c r="O37" i="8"/>
  <c r="O32" i="8"/>
  <c r="N32" i="8"/>
  <c r="M32" i="8"/>
  <c r="L32" i="8"/>
  <c r="L105" i="8"/>
  <c r="N20" i="8"/>
  <c r="O36" i="8"/>
  <c r="M36" i="8"/>
  <c r="N53" i="8"/>
  <c r="O30" i="8"/>
  <c r="N30" i="8"/>
  <c r="L30" i="8"/>
  <c r="M30" i="8"/>
  <c r="O33" i="8"/>
  <c r="N33" i="8"/>
  <c r="M92" i="8"/>
  <c r="O92" i="8"/>
  <c r="N92" i="8"/>
  <c r="L92" i="8"/>
  <c r="O52" i="8"/>
  <c r="N52" i="8"/>
  <c r="M52" i="8"/>
  <c r="L52" i="8"/>
  <c r="O71" i="8"/>
  <c r="M71" i="8"/>
  <c r="M90" i="8"/>
  <c r="L90" i="8"/>
  <c r="O90" i="8"/>
  <c r="O18" i="8"/>
  <c r="O95" i="8"/>
  <c r="P95" i="8" s="1"/>
  <c r="L99" i="8"/>
  <c r="O15" i="8"/>
  <c r="L35" i="8"/>
  <c r="M37" i="8"/>
  <c r="L38" i="8"/>
  <c r="O51" i="8"/>
  <c r="P51" i="8" s="1"/>
  <c r="N72" i="8"/>
  <c r="L73" i="8"/>
  <c r="M99" i="8"/>
  <c r="N103" i="8"/>
  <c r="N70" i="8"/>
  <c r="O70" i="8"/>
  <c r="L70" i="8"/>
  <c r="N17" i="8"/>
  <c r="M17" i="8"/>
  <c r="N90" i="8"/>
  <c r="N93" i="8"/>
  <c r="O17" i="8"/>
  <c r="L40" i="8"/>
  <c r="O40" i="8"/>
  <c r="N40" i="8"/>
  <c r="N100" i="8"/>
  <c r="O100" i="8"/>
  <c r="M100" i="8"/>
  <c r="L100" i="8"/>
  <c r="O58" i="8"/>
  <c r="O38" i="8"/>
  <c r="O16" i="8"/>
  <c r="M38" i="8"/>
  <c r="N57" i="8"/>
  <c r="L57" i="8"/>
  <c r="O75" i="8"/>
  <c r="M75" i="8"/>
  <c r="O50" i="8"/>
  <c r="N50" i="8"/>
  <c r="M50" i="8"/>
  <c r="O77" i="8"/>
  <c r="O101" i="8"/>
  <c r="N101" i="8"/>
  <c r="M101" i="8"/>
  <c r="L101" i="8"/>
  <c r="N18" i="8"/>
  <c r="M18" i="8"/>
  <c r="L18" i="8"/>
  <c r="M16" i="8"/>
  <c r="M55" i="8"/>
  <c r="O55" i="8"/>
  <c r="M80" i="8"/>
  <c r="O56" i="8"/>
  <c r="O72" i="8"/>
  <c r="O80" i="8"/>
  <c r="M56" i="8"/>
  <c r="O31" i="8"/>
  <c r="P31" i="8" s="1"/>
  <c r="L77" i="8"/>
  <c r="L103" i="8"/>
  <c r="M58" i="8"/>
  <c r="N77" i="8"/>
  <c r="N99" i="8"/>
  <c r="M103" i="8"/>
  <c r="P15" i="8" l="1"/>
  <c r="L86" i="8"/>
  <c r="P98" i="8"/>
  <c r="O39" i="8"/>
  <c r="M63" i="8"/>
  <c r="N83" i="8"/>
  <c r="O62" i="8"/>
  <c r="M81" i="8"/>
  <c r="N81" i="8"/>
  <c r="O81" i="8"/>
  <c r="L62" i="8"/>
  <c r="L81" i="8"/>
  <c r="O85" i="8"/>
  <c r="O79" i="8"/>
  <c r="L61" i="8"/>
  <c r="N62" i="8"/>
  <c r="M61" i="8"/>
  <c r="N61" i="8"/>
  <c r="P73" i="8"/>
  <c r="O61" i="8"/>
  <c r="M60" i="8"/>
  <c r="P18" i="8"/>
  <c r="N65" i="8"/>
  <c r="L79" i="8"/>
  <c r="P35" i="8"/>
  <c r="N79" i="8"/>
  <c r="L60" i="8"/>
  <c r="O60" i="8"/>
  <c r="P93" i="8"/>
  <c r="P103" i="8"/>
  <c r="P37" i="8"/>
  <c r="O20" i="8"/>
  <c r="P92" i="8"/>
  <c r="P53" i="8"/>
  <c r="P70" i="8"/>
  <c r="P77" i="8"/>
  <c r="N21" i="8"/>
  <c r="N26" i="8"/>
  <c r="O57" i="8"/>
  <c r="P57" i="8" s="1"/>
  <c r="N39" i="8"/>
  <c r="P39" i="8" s="1"/>
  <c r="P72" i="8"/>
  <c r="L39" i="8"/>
  <c r="P33" i="8"/>
  <c r="P36" i="8"/>
  <c r="O42" i="8"/>
  <c r="P32" i="8"/>
  <c r="P105" i="8"/>
  <c r="O91" i="8"/>
  <c r="P91" i="8" s="1"/>
  <c r="P71" i="8"/>
  <c r="O41" i="8"/>
  <c r="M23" i="8"/>
  <c r="L41" i="8"/>
  <c r="N41" i="8"/>
  <c r="M41" i="8"/>
  <c r="N22" i="8"/>
  <c r="L21" i="8"/>
  <c r="O21" i="8"/>
  <c r="M21" i="8"/>
  <c r="L20" i="8"/>
  <c r="P30" i="8"/>
  <c r="P99" i="8"/>
  <c r="P101" i="8"/>
  <c r="P100" i="8"/>
  <c r="M20" i="8"/>
  <c r="P52" i="8"/>
  <c r="O78" i="8"/>
  <c r="P78" i="8" s="1"/>
  <c r="P80" i="8"/>
  <c r="P55" i="8"/>
  <c r="P58" i="8"/>
  <c r="P17" i="8"/>
  <c r="P90" i="8"/>
  <c r="P75" i="8"/>
  <c r="O102" i="8"/>
  <c r="N102" i="8"/>
  <c r="L102" i="8"/>
  <c r="M102" i="8"/>
  <c r="N82" i="8"/>
  <c r="M82" i="8"/>
  <c r="L82" i="8"/>
  <c r="O82" i="8"/>
  <c r="L104" i="8"/>
  <c r="M104" i="8"/>
  <c r="O104" i="8"/>
  <c r="N104" i="8"/>
  <c r="P16" i="8"/>
  <c r="O25" i="8"/>
  <c r="N25" i="8"/>
  <c r="M25" i="8"/>
  <c r="L25" i="8"/>
  <c r="P56" i="8"/>
  <c r="M43" i="8"/>
  <c r="O43" i="8"/>
  <c r="N43" i="8"/>
  <c r="L43" i="8"/>
  <c r="P40" i="8"/>
  <c r="N59" i="8"/>
  <c r="O59" i="8"/>
  <c r="L59" i="8"/>
  <c r="M59" i="8"/>
  <c r="O19" i="8"/>
  <c r="N19" i="8"/>
  <c r="M19" i="8"/>
  <c r="L19" i="8"/>
  <c r="P50" i="8"/>
  <c r="P38" i="8"/>
  <c r="L83" i="8" l="1"/>
  <c r="O83" i="8"/>
  <c r="N86" i="8"/>
  <c r="O86" i="8"/>
  <c r="L88" i="8"/>
  <c r="M86" i="8"/>
  <c r="M89" i="8"/>
  <c r="M83" i="8"/>
  <c r="N63" i="8"/>
  <c r="L64" i="8"/>
  <c r="O23" i="8"/>
  <c r="N84" i="8"/>
  <c r="P60" i="8"/>
  <c r="O63" i="8"/>
  <c r="P63" i="8" s="1"/>
  <c r="P61" i="8"/>
  <c r="L63" i="8"/>
  <c r="P62" i="8"/>
  <c r="P81" i="8"/>
  <c r="N42" i="8"/>
  <c r="M42" i="8"/>
  <c r="P20" i="8"/>
  <c r="L42" i="8"/>
  <c r="M65" i="8"/>
  <c r="L85" i="8"/>
  <c r="L65" i="8"/>
  <c r="M85" i="8"/>
  <c r="M68" i="8"/>
  <c r="N69" i="8"/>
  <c r="P79" i="8"/>
  <c r="O65" i="8"/>
  <c r="N85" i="8"/>
  <c r="N46" i="8"/>
  <c r="L26" i="8"/>
  <c r="O26" i="8"/>
  <c r="M27" i="8"/>
  <c r="M26" i="8"/>
  <c r="L28" i="8"/>
  <c r="L29" i="8"/>
  <c r="P43" i="8"/>
  <c r="L22" i="8"/>
  <c r="O22" i="8"/>
  <c r="P59" i="8"/>
  <c r="L46" i="8"/>
  <c r="O48" i="8"/>
  <c r="M22" i="8"/>
  <c r="O46" i="8"/>
  <c r="N49" i="8"/>
  <c r="L23" i="8"/>
  <c r="P82" i="8"/>
  <c r="L45" i="8"/>
  <c r="N45" i="8"/>
  <c r="O45" i="8"/>
  <c r="M45" i="8"/>
  <c r="M24" i="8"/>
  <c r="M46" i="8"/>
  <c r="N23" i="8"/>
  <c r="P21" i="8"/>
  <c r="P41" i="8"/>
  <c r="M67" i="8"/>
  <c r="O67" i="8"/>
  <c r="N67" i="8"/>
  <c r="L67" i="8"/>
  <c r="P104" i="8"/>
  <c r="P102" i="8"/>
  <c r="N44" i="8"/>
  <c r="O44" i="8"/>
  <c r="L44" i="8"/>
  <c r="M44" i="8"/>
  <c r="P19" i="8"/>
  <c r="P25" i="8"/>
  <c r="P83" i="8" l="1"/>
  <c r="N89" i="8"/>
  <c r="P86" i="8"/>
  <c r="O88" i="8"/>
  <c r="M88" i="8"/>
  <c r="N88" i="8"/>
  <c r="L89" i="8"/>
  <c r="O89" i="8"/>
  <c r="N64" i="8"/>
  <c r="M64" i="8"/>
  <c r="P23" i="8"/>
  <c r="O64" i="8"/>
  <c r="O27" i="8"/>
  <c r="P65" i="8"/>
  <c r="P42" i="8"/>
  <c r="N24" i="8"/>
  <c r="M84" i="8"/>
  <c r="O84" i="8"/>
  <c r="L84" i="8"/>
  <c r="M69" i="8"/>
  <c r="O69" i="8"/>
  <c r="N27" i="8"/>
  <c r="L24" i="8"/>
  <c r="N68" i="8"/>
  <c r="M29" i="8"/>
  <c r="L69" i="8"/>
  <c r="O68" i="8"/>
  <c r="N29" i="8"/>
  <c r="L68" i="8"/>
  <c r="P85" i="8"/>
  <c r="P26" i="8"/>
  <c r="O28" i="8"/>
  <c r="L27" i="8"/>
  <c r="P22" i="8"/>
  <c r="O24" i="8"/>
  <c r="P46" i="8"/>
  <c r="O29" i="8"/>
  <c r="M28" i="8"/>
  <c r="N28" i="8"/>
  <c r="L48" i="8"/>
  <c r="N48" i="8"/>
  <c r="L49" i="8"/>
  <c r="M48" i="8"/>
  <c r="O49" i="8"/>
  <c r="P45" i="8"/>
  <c r="M49" i="8"/>
  <c r="P67" i="8"/>
  <c r="P44" i="8"/>
  <c r="O106" i="8" l="1"/>
  <c r="N106" i="8"/>
  <c r="M106" i="8"/>
  <c r="P89" i="8"/>
  <c r="L106" i="8"/>
  <c r="P88" i="8"/>
  <c r="P84" i="8"/>
  <c r="P64" i="8"/>
  <c r="P27" i="8"/>
  <c r="P24" i="8"/>
  <c r="P69" i="8"/>
  <c r="P29" i="8"/>
  <c r="P68" i="8"/>
  <c r="P28" i="8"/>
  <c r="P48" i="8"/>
  <c r="P49" i="8"/>
  <c r="P106" i="8" l="1"/>
  <c r="N15" i="7"/>
  <c r="L15" i="7"/>
  <c r="N15" i="6"/>
  <c r="N15" i="5"/>
  <c r="L15" i="5"/>
  <c r="M15" i="5"/>
  <c r="N15" i="4"/>
  <c r="L15" i="4"/>
  <c r="O27" i="3"/>
  <c r="N27" i="3"/>
  <c r="L27" i="3"/>
  <c r="O26" i="3"/>
  <c r="N26" i="3"/>
  <c r="L26" i="3"/>
  <c r="M26" i="3"/>
  <c r="O25" i="3"/>
  <c r="N25" i="3"/>
  <c r="L25" i="3"/>
  <c r="M25" i="3"/>
  <c r="O24" i="3"/>
  <c r="L24" i="3"/>
  <c r="N24" i="3"/>
  <c r="M24" i="3"/>
  <c r="O23" i="3"/>
  <c r="N23" i="3"/>
  <c r="M23" i="3"/>
  <c r="L23" i="3"/>
  <c r="O22" i="3"/>
  <c r="N22" i="3"/>
  <c r="M22" i="3"/>
  <c r="L22" i="3"/>
  <c r="O21" i="3"/>
  <c r="N21" i="3"/>
  <c r="L21" i="3"/>
  <c r="M21" i="3"/>
  <c r="O20" i="3"/>
  <c r="N20" i="3"/>
  <c r="M20" i="3"/>
  <c r="L20" i="3"/>
  <c r="O19" i="3"/>
  <c r="N19" i="3"/>
  <c r="L19" i="3"/>
  <c r="M19" i="3"/>
  <c r="O18" i="3"/>
  <c r="N18" i="3"/>
  <c r="L18" i="3"/>
  <c r="M18" i="3"/>
  <c r="O17" i="3"/>
  <c r="N17" i="3"/>
  <c r="L17" i="3"/>
  <c r="O16" i="3"/>
  <c r="N16" i="3"/>
  <c r="L16" i="3"/>
  <c r="M16" i="3"/>
  <c r="O15" i="3"/>
  <c r="N15" i="3"/>
  <c r="L15" i="3"/>
  <c r="P19" i="3" l="1"/>
  <c r="P21" i="3"/>
  <c r="P26" i="3"/>
  <c r="P24" i="3"/>
  <c r="P18" i="3"/>
  <c r="P22" i="3"/>
  <c r="M15" i="3"/>
  <c r="P15" i="3" s="1"/>
  <c r="P20" i="3"/>
  <c r="P23" i="3"/>
  <c r="M15" i="7"/>
  <c r="O15" i="7"/>
  <c r="M15" i="6"/>
  <c r="L15" i="6"/>
  <c r="O15" i="6"/>
  <c r="O15" i="4"/>
  <c r="M15" i="4"/>
  <c r="P16" i="3"/>
  <c r="P25" i="3"/>
  <c r="M27" i="3"/>
  <c r="P27" i="3" s="1"/>
  <c r="M17" i="3"/>
  <c r="P17" i="3" s="1"/>
  <c r="P15" i="7" l="1"/>
  <c r="P15" i="6"/>
  <c r="P44" i="6" s="1"/>
  <c r="O15" i="5"/>
  <c r="P15" i="5" s="1"/>
  <c r="P47" i="5" s="1"/>
  <c r="P15" i="4"/>
  <c r="C15" i="2" l="1"/>
  <c r="C55" i="6" l="1"/>
  <c r="C52" i="6"/>
  <c r="C47" i="6"/>
  <c r="C271" i="7"/>
  <c r="C268" i="7"/>
  <c r="C263" i="7"/>
  <c r="C117" i="8"/>
  <c r="C114" i="8"/>
  <c r="C109" i="8"/>
  <c r="C134" i="9"/>
  <c r="C131" i="9"/>
  <c r="C126" i="9"/>
  <c r="C69" i="10"/>
  <c r="C66" i="10"/>
  <c r="C61" i="10"/>
  <c r="C45" i="11"/>
  <c r="C42" i="11"/>
  <c r="C37" i="11"/>
  <c r="C114" i="12"/>
  <c r="C111" i="12"/>
  <c r="C106" i="12"/>
  <c r="C110" i="13"/>
  <c r="C107" i="13"/>
  <c r="C102" i="13"/>
  <c r="C53" i="14"/>
  <c r="C50" i="14"/>
  <c r="C105" i="4"/>
  <c r="C102" i="4"/>
  <c r="C97" i="4"/>
  <c r="C49" i="3"/>
  <c r="C46" i="3"/>
  <c r="C41" i="3"/>
  <c r="A38" i="2"/>
  <c r="A48" i="14" l="1"/>
  <c r="P10" i="14" s="1"/>
  <c r="A53" i="5"/>
  <c r="P10" i="5"/>
  <c r="A55" i="15"/>
  <c r="P10" i="15" s="1"/>
  <c r="A44" i="3"/>
  <c r="P10" i="3" s="1"/>
  <c r="A109" i="12"/>
  <c r="P10" i="12" s="1"/>
  <c r="A64" i="10"/>
  <c r="P10" i="10" s="1"/>
  <c r="A112" i="8"/>
  <c r="P10" i="8" s="1"/>
  <c r="A50" i="6"/>
  <c r="P10" i="6" s="1"/>
  <c r="A100" i="4"/>
  <c r="P10" i="4" s="1"/>
  <c r="A105" i="13"/>
  <c r="P10" i="13" s="1"/>
  <c r="A40" i="11"/>
  <c r="P10" i="11" s="1"/>
  <c r="A129" i="9"/>
  <c r="P10" i="9" s="1"/>
  <c r="A266" i="7"/>
  <c r="P10" i="7" s="1"/>
  <c r="C25" i="2"/>
  <c r="D9" i="2"/>
  <c r="D8" i="15" s="1"/>
  <c r="D8" i="2"/>
  <c r="D7" i="15" s="1"/>
  <c r="D7" i="2"/>
  <c r="D6" i="15" s="1"/>
  <c r="D6" i="2"/>
  <c r="D5" i="15" s="1"/>
  <c r="D7" i="14" l="1"/>
  <c r="D7" i="13"/>
  <c r="D7" i="12"/>
  <c r="D7" i="11"/>
  <c r="D7" i="10"/>
  <c r="D7" i="9"/>
  <c r="D7" i="8"/>
  <c r="D7" i="7"/>
  <c r="D7" i="6"/>
  <c r="D7" i="5"/>
  <c r="D7" i="4"/>
  <c r="D8" i="14"/>
  <c r="D8" i="13"/>
  <c r="D8" i="12"/>
  <c r="D8" i="11"/>
  <c r="D8" i="10"/>
  <c r="D8" i="9"/>
  <c r="D8" i="8"/>
  <c r="D8" i="7"/>
  <c r="D8" i="6"/>
  <c r="D8" i="5"/>
  <c r="D8" i="4"/>
  <c r="D5" i="14"/>
  <c r="D5" i="13"/>
  <c r="D5" i="12"/>
  <c r="D5" i="11"/>
  <c r="D5" i="10"/>
  <c r="D5" i="9"/>
  <c r="D5" i="8"/>
  <c r="D5" i="7"/>
  <c r="D5" i="6"/>
  <c r="D5" i="5"/>
  <c r="D5" i="4"/>
  <c r="D6" i="14"/>
  <c r="D6" i="13"/>
  <c r="D6" i="12"/>
  <c r="D6" i="11"/>
  <c r="D6" i="10"/>
  <c r="D6" i="9"/>
  <c r="D6" i="8"/>
  <c r="D6" i="7"/>
  <c r="D6" i="6"/>
  <c r="D6" i="5"/>
  <c r="D6" i="4"/>
  <c r="D6" i="3"/>
  <c r="D7" i="3"/>
  <c r="D5" i="3"/>
  <c r="D8" i="3"/>
  <c r="C27" i="2"/>
  <c r="C26" i="2"/>
  <c r="C21" i="2"/>
  <c r="C20" i="2"/>
  <c r="C19" i="2"/>
  <c r="C18" i="2"/>
  <c r="C17" i="2"/>
  <c r="C16" i="2"/>
  <c r="N47" i="5" l="1"/>
  <c r="G17" i="2" s="1"/>
  <c r="L47" i="5"/>
  <c r="I17" i="2" s="1"/>
  <c r="N94" i="4"/>
  <c r="G16" i="2" s="1"/>
  <c r="L94" i="4"/>
  <c r="I16" i="2" s="1"/>
  <c r="L99" i="13" l="1"/>
  <c r="I26" i="2" s="1"/>
  <c r="I27" i="2"/>
  <c r="G27" i="2"/>
  <c r="N44" i="6"/>
  <c r="G18" i="2" s="1"/>
  <c r="N99" i="13"/>
  <c r="G26" i="2" s="1"/>
  <c r="L44" i="6"/>
  <c r="I18" i="2" s="1"/>
  <c r="N34" i="11"/>
  <c r="G24" i="2" s="1"/>
  <c r="N260" i="7"/>
  <c r="G19" i="2" s="1"/>
  <c r="L260" i="7"/>
  <c r="I19" i="2" s="1"/>
  <c r="G20" i="2"/>
  <c r="L123" i="9"/>
  <c r="I21" i="2" s="1"/>
  <c r="L58" i="10"/>
  <c r="I22" i="2" s="1"/>
  <c r="N103" i="12"/>
  <c r="G25" i="2" s="1"/>
  <c r="L103" i="12"/>
  <c r="I25" i="2" s="1"/>
  <c r="N123" i="9"/>
  <c r="G21" i="2" s="1"/>
  <c r="N58" i="10"/>
  <c r="G22" i="2" s="1"/>
  <c r="I20" i="2"/>
  <c r="L34" i="11"/>
  <c r="I24" i="2" s="1"/>
  <c r="M260" i="7"/>
  <c r="F19" i="2" s="1"/>
  <c r="M123" i="9"/>
  <c r="F21" i="2" s="1"/>
  <c r="M44" i="6"/>
  <c r="F18" i="2" s="1"/>
  <c r="M47" i="5"/>
  <c r="F17" i="2" s="1"/>
  <c r="F20" i="2"/>
  <c r="M94" i="4"/>
  <c r="F16" i="2" s="1"/>
  <c r="M58" i="10" l="1"/>
  <c r="F22" i="2" s="1"/>
  <c r="M103" i="12"/>
  <c r="F25" i="2" s="1"/>
  <c r="M34" i="11"/>
  <c r="F24" i="2" s="1"/>
  <c r="F27" i="2"/>
  <c r="M99" i="13"/>
  <c r="F26" i="2" s="1"/>
  <c r="O260" i="7"/>
  <c r="H19" i="2" s="1"/>
  <c r="P94" i="4"/>
  <c r="E16" i="2" s="1"/>
  <c r="O94" i="4"/>
  <c r="H16" i="2" s="1"/>
  <c r="O58" i="10"/>
  <c r="H22" i="2" s="1"/>
  <c r="P58" i="10"/>
  <c r="E22" i="2" s="1"/>
  <c r="H20" i="2"/>
  <c r="N9" i="8"/>
  <c r="O44" i="6"/>
  <c r="H18" i="2" s="1"/>
  <c r="O47" i="5"/>
  <c r="H17" i="2" s="1"/>
  <c r="E17" i="2"/>
  <c r="P260" i="7"/>
  <c r="E19" i="2" s="1"/>
  <c r="N9" i="6"/>
  <c r="N9" i="4" l="1"/>
  <c r="O123" i="9"/>
  <c r="H21" i="2" s="1"/>
  <c r="H27" i="2"/>
  <c r="O34" i="11"/>
  <c r="H24" i="2" s="1"/>
  <c r="P123" i="9"/>
  <c r="N9" i="9" s="1"/>
  <c r="O103" i="12"/>
  <c r="H25" i="2" s="1"/>
  <c r="P103" i="12"/>
  <c r="N9" i="12" s="1"/>
  <c r="N9" i="14"/>
  <c r="O99" i="13"/>
  <c r="H26" i="2" s="1"/>
  <c r="E18" i="2"/>
  <c r="N9" i="5"/>
  <c r="P34" i="11"/>
  <c r="E24" i="2" s="1"/>
  <c r="P99" i="13"/>
  <c r="N9" i="13" s="1"/>
  <c r="N9" i="10"/>
  <c r="N9" i="7"/>
  <c r="E20" i="2"/>
  <c r="E21" i="2" l="1"/>
  <c r="E25" i="2"/>
  <c r="E27" i="2"/>
  <c r="N9" i="11"/>
  <c r="E26" i="2"/>
  <c r="N28" i="3" l="1"/>
  <c r="L28" i="3"/>
  <c r="N14" i="3"/>
  <c r="M14" i="3"/>
  <c r="L14" i="3"/>
  <c r="M28" i="3" l="1"/>
  <c r="O28" i="3"/>
  <c r="O14" i="3"/>
  <c r="P14" i="3" s="1"/>
  <c r="L38" i="3"/>
  <c r="N38" i="3"/>
  <c r="P28" i="3" l="1"/>
  <c r="G15" i="2"/>
  <c r="I15" i="2"/>
  <c r="M38" i="3"/>
  <c r="P38" i="3" l="1"/>
  <c r="O38" i="3"/>
  <c r="F15" i="2"/>
  <c r="H15" i="2" l="1"/>
  <c r="N9" i="3"/>
  <c r="E15" i="2"/>
  <c r="A23" i="2" l="1"/>
  <c r="B23" i="2" s="1"/>
  <c r="A24" i="2"/>
  <c r="A27" i="2"/>
  <c r="E28" i="2"/>
  <c r="E31" i="2" s="1"/>
  <c r="A25" i="2"/>
  <c r="A26" i="2"/>
  <c r="A15" i="2"/>
  <c r="D1" i="3" s="1"/>
  <c r="A17" i="2"/>
  <c r="A16" i="2"/>
  <c r="A19" i="2"/>
  <c r="A22" i="2"/>
  <c r="A18" i="2"/>
  <c r="A20" i="2"/>
  <c r="A21" i="2"/>
  <c r="I28" i="2"/>
  <c r="H28" i="2"/>
  <c r="G28" i="2"/>
  <c r="F28" i="2"/>
  <c r="B15" i="2" l="1"/>
  <c r="D1" i="14"/>
  <c r="B27" i="2"/>
  <c r="B25" i="2"/>
  <c r="D1" i="12"/>
  <c r="D1" i="13"/>
  <c r="B26" i="2"/>
  <c r="B24" i="2"/>
  <c r="D1" i="11"/>
  <c r="B22" i="2"/>
  <c r="D1" i="15"/>
  <c r="D1" i="10"/>
  <c r="B21" i="2"/>
  <c r="D1" i="9"/>
  <c r="B20" i="2"/>
  <c r="D1" i="8"/>
  <c r="D1" i="6"/>
  <c r="B18" i="2"/>
  <c r="B19" i="2"/>
  <c r="D1" i="7"/>
  <c r="D1" i="4"/>
  <c r="B16" i="2"/>
  <c r="B17" i="2"/>
  <c r="D1" i="5"/>
  <c r="D11" i="2"/>
  <c r="E29" i="2"/>
  <c r="E30" i="2" s="1"/>
  <c r="E32" i="2" l="1"/>
  <c r="C19" i="1" s="1"/>
  <c r="D10" i="2" l="1"/>
  <c r="C26" i="1"/>
  <c r="C28" i="1" s="1"/>
</calcChain>
</file>

<file path=xl/sharedStrings.xml><?xml version="1.0" encoding="utf-8"?>
<sst xmlns="http://schemas.openxmlformats.org/spreadsheetml/2006/main" count="2767" uniqueCount="634">
  <si>
    <t>APSTIPRINU</t>
  </si>
  <si>
    <t>(pasūtītāja paraksts un tā atsifrējums)</t>
  </si>
  <si>
    <t>Z.v.</t>
  </si>
  <si>
    <t>____________.gada____.____________</t>
  </si>
  <si>
    <t>Būvniecības koptāme</t>
  </si>
  <si>
    <t>Attiecināmās izmaksas</t>
  </si>
  <si>
    <t xml:space="preserve">Būves nosaukums: </t>
  </si>
  <si>
    <t>DAUDZDZĪVOKĻU DZĪVOJAMĀ ĒKA</t>
  </si>
  <si>
    <t xml:space="preserve">Objekta nosaukums: </t>
  </si>
  <si>
    <t>ENERGOEFEKTIVITĀTES PAAUGSTINĀŠANA DAUDZDZĪVOKĻU DZĪVOJAMAI ĒKAI</t>
  </si>
  <si>
    <t xml:space="preserve">Objekta adrese: </t>
  </si>
  <si>
    <t>Mātera iela 23/25, Jelgava, ēkas kad. apz. 0900 001 0126 001</t>
  </si>
  <si>
    <t xml:space="preserve">Pasūtījuma Nr: </t>
  </si>
  <si>
    <t>Nr. P.k.</t>
  </si>
  <si>
    <t>Objekta nosaukums</t>
  </si>
  <si>
    <t>Objekta izmaksas (EUR)</t>
  </si>
  <si>
    <t>ENERGOEFEKTIVITĀTES PAAUGSTINĀŠANA 
DAUDZDZĪVOKĻU DZĪVOJAMAI ĒKAI</t>
  </si>
  <si>
    <t>Kopā:</t>
  </si>
  <si>
    <t>Sastādīja</t>
  </si>
  <si>
    <t>(paraksts un tā atšifrējums, datums)</t>
  </si>
  <si>
    <t>Sertifikāta Nr.</t>
  </si>
  <si>
    <t>Tāme sastādīta</t>
  </si>
  <si>
    <t>Kopsavilkuma aprēķini pa darbu veidiem vai konstruktīvo elementu veidiem</t>
  </si>
  <si>
    <t>(darba veids vai konstruktīvā elementa nosaukums)</t>
  </si>
  <si>
    <t>Būves nosaukums:</t>
  </si>
  <si>
    <t>Objekta adrese:</t>
  </si>
  <si>
    <t>Pasūtījuma Nr.</t>
  </si>
  <si>
    <t>Par kopejo summu, EUR</t>
  </si>
  <si>
    <t>Kopējā darbietilpība, c/h</t>
  </si>
  <si>
    <t>Nr.p.k.</t>
  </si>
  <si>
    <t>kods; tāmes Nr:</t>
  </si>
  <si>
    <t>Darba veids vai konstruktīvā elementa nosaukums</t>
  </si>
  <si>
    <t>Tāmes izmaksas (EUR)</t>
  </si>
  <si>
    <t>Tai skaitā</t>
  </si>
  <si>
    <t>Darbietilpība (c/h)</t>
  </si>
  <si>
    <t>darba alga (EUR)</t>
  </si>
  <si>
    <t>materiāli (EUR)</t>
  </si>
  <si>
    <t>mehānismi (EUR)</t>
  </si>
  <si>
    <t>Pārbaudīja</t>
  </si>
  <si>
    <t xml:space="preserve">Lokālā tāme Nr. </t>
  </si>
  <si>
    <t>BŪVLAUKUMA SAGATAVOŠANA UN UZTURĒŠANA</t>
  </si>
  <si>
    <t>Tāme sastādīta  2020. gada tirgus cenās, pamatojoties uz DOP daļas rasējumiem</t>
  </si>
  <si>
    <t>Tāmes  izmaksas  EUR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</si>
  <si>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</si>
  <si>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</si>
  <si>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</si>
  <si>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</si>
  <si>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</si>
  <si>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</si>
  <si>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</si>
  <si>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</si>
  <si>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</si>
  <si>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</si>
  <si>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</si>
  <si>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</si>
  <si>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1. BŪVLAUKUMA SAGATAVOŠANA</t>
  </si>
  <si>
    <t>Līgumcena</t>
  </si>
  <si>
    <t>Pagaidu žoga ar vārtiem montāža, demontāža</t>
  </si>
  <si>
    <t>tek.m</t>
  </si>
  <si>
    <t>Drošības zīmes ar montāžu uz pagaidu žoga</t>
  </si>
  <si>
    <t>kompl</t>
  </si>
  <si>
    <t>Bio tualetes montāža, demontāža</t>
  </si>
  <si>
    <t>gab</t>
  </si>
  <si>
    <t>Moduļa tipa konteinera montāža, demontāža</t>
  </si>
  <si>
    <t>Būvtāfeles montāža</t>
  </si>
  <si>
    <t>Ugunsdzēsības stenda izveide</t>
  </si>
  <si>
    <t>Pagaidu EL sadalnes montāža</t>
  </si>
  <si>
    <t>Pagaidu EL prožektoru montāža</t>
  </si>
  <si>
    <t>Pagaidu ūdensvada ierīkošana</t>
  </si>
  <si>
    <t>Beramo materiālu noliktavas izveide</t>
  </si>
  <si>
    <t>m2</t>
  </si>
  <si>
    <t>Pagaidu jumtiņu virs ieejam izveide</t>
  </si>
  <si>
    <t>Būvniecības sastatņu ar sietu montāža un demontāža</t>
  </si>
  <si>
    <t>Esošo koku aizsardzības pasākumi</t>
  </si>
  <si>
    <t>Esošo dekoratīvo stādijumu aizsardzības pasākumi</t>
  </si>
  <si>
    <t>Citi būvlaukuma izveides darbi</t>
  </si>
  <si>
    <t>2. BŪVLAUKUMA UZTURĒŠANA</t>
  </si>
  <si>
    <t>Bio tualetes apkalpošana 4 reizes mēnesi un noma</t>
  </si>
  <si>
    <t>mēn</t>
  </si>
  <si>
    <t>Modula tipa konteinera noma</t>
  </si>
  <si>
    <t>Pagaidu žoga ar vārtiem noma</t>
  </si>
  <si>
    <t>Sastatņu noma</t>
  </si>
  <si>
    <t>Elektrības izmaksas</t>
  </si>
  <si>
    <t>Būvgružu konteineru izvešanas un utilizācijas izmaksas</t>
  </si>
  <si>
    <t>Sertifikāta Nr</t>
  </si>
  <si>
    <t>DEMONTĀŽAS DARBI</t>
  </si>
  <si>
    <t>Tāme sastādīta  2019. gada tirgus cenās, pamatojoties uz AR daļas rasējumiem</t>
  </si>
  <si>
    <t>1. DEMONTĀŽAS DARBI ASĪS A--E. AR-1</t>
  </si>
  <si>
    <t>Pagraba logu ar aizpildījumu demontāža (poz.1)</t>
  </si>
  <si>
    <t>Logu palodžu demontāža (poz.2)</t>
  </si>
  <si>
    <t>Ķieģēļu izvirzijumu zem palodzem nogriešana (poz.3)</t>
  </si>
  <si>
    <t>Bēniņu logu demontāža (poz.4)</t>
  </si>
  <si>
    <t>Vēja kastes dēļu demontāža (poz.5)</t>
  </si>
  <si>
    <t>Putnu barotavas demontāža, nodošana īpašniekam, vai utilizācija ja īpašnieks atsakās (poz.6)</t>
  </si>
  <si>
    <t>Puķu podu turētāja demontāža, nodošana īpašniekam, vai utilizācija ja īpašnieks atsakās (poz.7)</t>
  </si>
  <si>
    <t>Esošās apmales no sadrupuša betona seguma demontāža (poz.8)</t>
  </si>
  <si>
    <t>Esošo koka logu demontāža (poz.9)</t>
  </si>
  <si>
    <t>Cokola apmetuma nokalšana (poz.10)</t>
  </si>
  <si>
    <t>Dekoratīvās malas - skārda apšuvuma rūpīga demontāža (poz.11)</t>
  </si>
  <si>
    <t>Ugunsdzēšības kāpņu attīrīšana, gruntēšana un krāsošana. L=14700 mm (poz.12)</t>
  </si>
  <si>
    <t>Esošā bruģakmens seguma apmales rūpīga demontāža asīs A-C (poz.13)</t>
  </si>
  <si>
    <t>Esošo PVC durvju demontāža (poz.14)</t>
  </si>
  <si>
    <t>Citi demontāžas darbi</t>
  </si>
  <si>
    <t>cilv/st</t>
  </si>
  <si>
    <t>Būvgružu savākšana, iekraušana, izvešana un utilizācija</t>
  </si>
  <si>
    <t>m3</t>
  </si>
  <si>
    <t>2. DEMONTĀŽAS DARBI ASĪS E--A. AR-1</t>
  </si>
  <si>
    <t>Esošo koka logu demontāža (poz.1)</t>
  </si>
  <si>
    <t>Kondicioniera iekārtas rūpīga demontāža, ja nepieciešams, saskaņojot ar iekārtas īpašnieku, nodrošināt nepārtrauktu iekārtas darbību (poz.6)</t>
  </si>
  <si>
    <t>Esošās apmales no sadrupuša betona seguma demontāža (poz.7)</t>
  </si>
  <si>
    <t>Dekoratīvās apdares  plāksnes uz fasādes rūpīga demontāža, pēc darbu pabeigšanas paredzēts montēt atpakaļ, izmantojot speciālus stiprinājumus (poz.8)</t>
  </si>
  <si>
    <t>Esošās plāksnes  uz fasādes rūpīga demontāža, nodošana Pasūtītājam,  pēc darbu pabeigšanas paredzēts montēt atpakaļ, izmantojot speciālus stiprinājumus (poz.9)</t>
  </si>
  <si>
    <t>3. DEMONTĀŽAS DARBI ASĪS 1--4. AR-2</t>
  </si>
  <si>
    <t>Esošās apmales no sadrupuša betona seguma un bruģakmens apmales demontāža (poz.4)</t>
  </si>
  <si>
    <t>Ventilācijas restes  demontāža (poz.5)</t>
  </si>
  <si>
    <t>Satelītantenas rūpīga demontāža un pārcelšana uz jumtu, paredzot kabeļa (15-25 m) pagarināšanu un jaunus stiprinājumus (poz.6)</t>
  </si>
  <si>
    <t>Esošo koka logu demontāža (poz.7)</t>
  </si>
  <si>
    <t>Lietus ūdens teknu un noteku demontāža (poz.8)</t>
  </si>
  <si>
    <t>Ēkas karoga turētāja rūpīga demontāža, attīrīšana no rūsas, pārkrāsošana ar pretkorozijas krāsu, toni precizējot vēlāk,  un montāža atpakaļ virs projektēmās fasādes, paredzot jaunus stiprinājumus, nepieciešamības gadījuma remonts (poz.9)</t>
  </si>
  <si>
    <t>Ēkas adreses plāksnītes rūpīga demontāža un montāža atpakaļ virs projektēmās fasādes, paredzot jaunus stiprinājumus, nepieciešamības gadījuma remonts (poz.10)</t>
  </si>
  <si>
    <t>Lieveņa apgaismes ķermeņu rūpīga demontāža, nodošana Pasūtītājam, pēc darbu pabeigšanas montēt atpakaļ, paredzot jaunus stiprinājumus un kabeļu pagarināšanu (poz.11)</t>
  </si>
  <si>
    <t>Kondicioniera iekārtas rūpīga demontāža, ja nepieciešams, saskaņojot ar iekārtas īpašnieku, nodrošināt nepārtrauktu iekārtas darbību (poz.12)</t>
  </si>
  <si>
    <t>Puķu podu turētāja demontāža, nodošana īpašniekam, vai utilizācija ja īpašnieks atsakās (poz.13)</t>
  </si>
  <si>
    <t>Reklāmas  rāmja konstrukcijas rūpīga demontāža un montāža atpakaļ virs projektēmās fasādes, paredzot jaunus stiprinājumus, nepieciešamības gadījuma remonts (poz.14)</t>
  </si>
  <si>
    <t>Reklāmas  plāksnes rūpīga demontāža un montāža atpakaļ virs projektēmās fasādes, paredzot jaunus stiprinājumus (poz.15)</t>
  </si>
  <si>
    <t>Ķieģēļu izvirzijumu starp logiem nogriešana (poz.16),  1 komplekts starp diviem logiem</t>
  </si>
  <si>
    <t>Esošo jumta margu demontāža (poz.17)</t>
  </si>
  <si>
    <t>Cokola apmetuma nokalšana (poz.18) vietās, kur tas atslaņojās</t>
  </si>
  <si>
    <t>Jumta seguma demontāža (poz.19)</t>
  </si>
  <si>
    <t>Jumta seguma utilizācija (poz.19)</t>
  </si>
  <si>
    <t>Ķieģeļu ventilācijas kanālu virs jumta seguma demontāža (poz.20)</t>
  </si>
  <si>
    <t>Esošo ventilācijas atvērumus cokolā aizpildīšana ar putupolistirolu (poz.21)</t>
  </si>
  <si>
    <t>Dekoratīvās apdares  plāksnes uz fasādes rūpīga demontāža, pēc darbu pabeigšanas paredzēts montēt atpakaļ, izmantojot speciālus stiprinājumus (poz.22)</t>
  </si>
  <si>
    <t>Dekoratīvās malas - skārda apšuvuma rūpīga demontāža (poz.23)</t>
  </si>
  <si>
    <t>4. DEMONTĀŽAS DARBI ASĪS 4--1. AR-3</t>
  </si>
  <si>
    <t>Esošās apmales no sadrupuša betona segum demontāža (poz.4)</t>
  </si>
  <si>
    <t>Ķieģēļu izvirzijumu starp logiem nogriešana (poz.6),  1 komplekts starp diviem logiem</t>
  </si>
  <si>
    <t>Kondicioniera iekārtas rūpīga demontāža, ja nepieciešams, saskaņojot ar iekārtas īpašnieku, nodrošināt nepārtrauktu iekārtas darbību (poz.9)</t>
  </si>
  <si>
    <t>Apgaismes ķermeņu rūpīga demontāža, nodošana Pasūtītājam, pēc darbu pabeigšanas montēt atpakaļ, paredzot jaunus stiprinājumus un kabeļu pagarināšanu (poz.10)</t>
  </si>
  <si>
    <t>Lieveņa jumta esošo slāņu un apšuvumu demontāža (poz.12)</t>
  </si>
  <si>
    <t>Jumta seguma demontāža (poz.13)</t>
  </si>
  <si>
    <t>Jumta seguma utilizācija (poz.13)</t>
  </si>
  <si>
    <t>Ķieģeļu ventilācijas kanālu virs jumta seguma demontāža (poz.214)</t>
  </si>
  <si>
    <t>Ieejas mezgla mūra demontāža (poz.15)</t>
  </si>
  <si>
    <t>Esošo ārdurvju demontāža (poz.16)</t>
  </si>
  <si>
    <t>Esošo vējtvera durvju demontāža (poz.17)</t>
  </si>
  <si>
    <t>Esošo durvju uz pagrabu demontāža (poz.18)</t>
  </si>
  <si>
    <t>Esošā asfaltseguma izgriezt pie fasādes 800 mm platumā (poz.19)</t>
  </si>
  <si>
    <t>Esošo ventilācijas atvērumus cokolā aizpildīšana ar putupolistirolu (poz.20)</t>
  </si>
  <si>
    <t>PAGRABA STĀVA SILTINĀŠANAS DARBI</t>
  </si>
  <si>
    <t>1. SAGATAVOŠANAS DARBI. AR-7</t>
  </si>
  <si>
    <t>Visiem pagraba stāvā esošajiem koka šķūņiem sienas augšpusi nozāģet aptuveni par 20 cm</t>
  </si>
  <si>
    <t>Visus, pie pagraba griestiem esošos kabeļus, pārcelt uz projektējamās griestu siltumizolācijas virsmu, uzstādot jaunus stiprinājumus</t>
  </si>
  <si>
    <t>Būvgružu savākšana pēc celtniecības darbu pabeigšanas, iekraušana, izvešana un utilizācija</t>
  </si>
  <si>
    <t>2. PAGRABA GRIESTU SILTINĀŠANA. AR-7</t>
  </si>
  <si>
    <t>Griestu betona virsmas attīrīšana no atlipušajiem betona gabaliem, stiegrojuma attīrīšāna no rūsas (apmēram 15% mo griestu kopējās platības)</t>
  </si>
  <si>
    <t>Grunts Baumit PremiumPrimer vai ekvivalents</t>
  </si>
  <si>
    <t>l</t>
  </si>
  <si>
    <t>Stiegrojuma aizsargslāņa atjaunošana</t>
  </si>
  <si>
    <t>Griestu plaknes līdzināšana, slāņa biezums līdz 5 mm (ja nepieciešams)</t>
  </si>
  <si>
    <t>Grunts Ceresit CT 17 vai ekvivalents</t>
  </si>
  <si>
    <t>Cementa - kaļķu apmetums Ceresit ZKP vai ekvivalents</t>
  </si>
  <si>
    <t xml:space="preserve"> kg</t>
  </si>
  <si>
    <t>Siltumizolācijas montāža uz pagraba griestiem, 100 mm</t>
  </si>
  <si>
    <t>Līmjava CERESIT CT 83 vai ekvivalents</t>
  </si>
  <si>
    <t>kg</t>
  </si>
  <si>
    <t>Dībeļi Ejot H4 eco vai ekvivalents</t>
  </si>
  <si>
    <t>Putupolistirols EPS 150, 100 mm, (lambda=0.034W/mK)</t>
  </si>
  <si>
    <t>Siltumizolācijas armēšana (armējošā java izlīdzināma un atstājama ka nobeiguma slānis)</t>
  </si>
  <si>
    <t>Līmjava CERESIT CT 85 Flex vai ekvivalents</t>
  </si>
  <si>
    <t>Stiklašķiedras siets 160g/m2</t>
  </si>
  <si>
    <t>3. PAGRABA SIENAS KĀPŅU TELPĀ SILTINĀŠANA. AR-7</t>
  </si>
  <si>
    <t>Sienas plaknes līdzināšana, slāņa biezums līdz 5 mm (ja nepieciešams)</t>
  </si>
  <si>
    <t>Siltumizolācijas montāža, 50 mm</t>
  </si>
  <si>
    <t>Līmjava Ceresit CT 190 vai ekvivalents</t>
  </si>
  <si>
    <t>Fasādes izolācijas tapa ar metāla naglu</t>
  </si>
  <si>
    <t>Akmens vate ROCKWOOL FRONTROCK S,  (lambda=0.037 W/mK), 50 mm, vai ekvivalents</t>
  </si>
  <si>
    <t>Siltumizolācijas armēšana</t>
  </si>
  <si>
    <t>Līmjava Ceresit CT 87 vai ekvivalents</t>
  </si>
  <si>
    <t>Stūris ēku siltināšanai (ārējais un iekšējais)</t>
  </si>
  <si>
    <t>LOGI UN DURVIS</t>
  </si>
  <si>
    <t>1. LOGU PIEGĀDE UN MONTĀŽA. AR-32</t>
  </si>
  <si>
    <t>Logs L-1 ar piegādi un montāžu, 1450*1400 mm, PVC rāmis ar stikla paketi, Uw=1.25W/(m2*K), balta/balta, atverams/atgāžams, veramājā daļa ir uzstādīta ventilācijas sistēma Gealan Gecco 3</t>
  </si>
  <si>
    <t>Logs L-2 ar piegādi un montāžu, 1450*1400 mm, PVC rāmis ar stikla paketi, Uw=1.25W/(m2*K), balta/balta, atverams/atgāžams, veramājā daļa ir uzstādīta ventilācijas sistēma Gealan Gecco 3</t>
  </si>
  <si>
    <t>Logs L-3 ar piegādi un montāžu, 1450*1400 mm, PVC rāmis ar stikla paketi, Uw=1.25W/(m2*K), balta/balta, atverams/atgāžams, veramājā daļa ir uzstādīta ventilācijas sistēma Gealan Gecco 3</t>
  </si>
  <si>
    <t>Logs L-4 ar piegādi un montāžu, 2050*1400 mm, PVC rāmis ar stikla paketi, Uw=1.25W/(m2*K), balta/balta, atverams/atgāžams, veramājā daļa ir uzstādīta ventilācijas sistēma Gealan Gecco 3</t>
  </si>
  <si>
    <t>Logs L-5 ar piegādi un montāžu, 2050*1400 mm, PVC rāmis ar stikla paketi, Uw=1.25W/(m2*K), balta/balta, atverams/atgāžams, veramājā daļa ir uzstādīta ventilācijas sistēma Gealan Gecco 3</t>
  </si>
  <si>
    <t>Logs L-6 ar piegādi un montāžu, 1500*580 mm, PVC rāmis ar stikla paketi, Uw=1.25W/(m2*K), balta/balta, neverams</t>
  </si>
  <si>
    <t>Logs L-7 ar piegādi un montāžu, 1200*500 mm, PVC rāmis ar stikla paketi, Uw=1.25W/(m2*K), balta/balta, atverams/atgāžams, puse loga neverama ar PVC aizpildījumu, kurā iemontēta regulējama 200*200 mm PVC reste</t>
  </si>
  <si>
    <t>Logs L-8 ar piegādi un montāžu, 500*500 mm,  ar PVC aizpildījumu, kurā iemontēta regulējama 200*200 mm PVC reste</t>
  </si>
  <si>
    <t>Esošajos logos veramājā daļa uzstādīt dabīgas ventilācijas sistēmu Gealan Gecco 3</t>
  </si>
  <si>
    <t>Iekšējo PVC palodžu piegāde un montāža</t>
  </si>
  <si>
    <t>Ārējo skārda palodžu piegāde un montāža</t>
  </si>
  <si>
    <t>Tvaika necaurlaidīga lenta montāža (tai skaitā durvīm)</t>
  </si>
  <si>
    <t>Difūzijas lentas montāža (tai skaitā durvīm)</t>
  </si>
  <si>
    <t>Logu ailu apdares darbi no iekšpuses</t>
  </si>
  <si>
    <t>Palīgmateriāli un palīgdarbi</t>
  </si>
  <si>
    <t>2. ĀRDURVJU PIEGĀDE UN MONTĀŽA. AR-33, AR-23</t>
  </si>
  <si>
    <t>Metāla  siltinātas durvis at stikla paketi  AD-1, 1100*2180 mm ar piegādi un montāžu, uzstādīt slēdzeni, rokturi, aprīkot ar elektronisko sprūdu un koda atslēgu, izgatavot 450 atslēgu kopijas (čipus), uzstādīt pašaizveršanas mehānismu, ar slieksni</t>
  </si>
  <si>
    <t>Metāla  siltinātas durvis at stikla paketi  AD-2, 1500*2180 mm ar piegādi un montāžu, uzstādīt slēdzeni, rokturi, aprīkot ar elektronisko sprūdu un koda atslēgu, izgatavot 450 atslēgu kopijas (čipus), uzstādīt pašaizveršanas mehānismu, ar slieksni</t>
  </si>
  <si>
    <t>Durvju ailu apdares darbi no iekšpuses</t>
  </si>
  <si>
    <t>Metāla leņķdzelzs, 100*100 mm, enkurots pamata konstrukcijā</t>
  </si>
  <si>
    <t>Piebetonējums, izlīdzinošais slānis pēc durvju montāžas</t>
  </si>
  <si>
    <t>durvis</t>
  </si>
  <si>
    <t>Hidroizolācija - divas kārtas ruberoida bitumena mastikā</t>
  </si>
  <si>
    <t>Elastīgs hermetiķis</t>
  </si>
  <si>
    <t>3. DURVJU PIEGĀDE UN MONTĀŽA. AR-33</t>
  </si>
  <si>
    <t>PVC durvis ar stikla paketi augšā un pildiņa materiālu apakšā, D-1 ar piegādi un montāžu 1000*2000 mm, krāsa iekšpusē un ārpusē gaiši pelēkā, uzstādīt pašaizveršanas mehānismu, ar rokturi, ar zemo slieksni</t>
  </si>
  <si>
    <t>Metāla durvis  D-2, 900*2000 mm ar piegādi un montāžu, uzstādīt slēdzeni, ar rokturi,  izgatavot 222 atslēgu kopijas (čipus), uzstādīt pašaizveršanas mehānismu, ar slieksni, EI-30</t>
  </si>
  <si>
    <t>FASĀDES APDARE</t>
  </si>
  <si>
    <t>1. FASĀDE ASĪS A--E. AR-4</t>
  </si>
  <si>
    <t xml:space="preserve">Plaisu aizdare ar montāžas un remonta javu CERESIT CX20 </t>
  </si>
  <si>
    <t>2. FASĀDE ASĪS E--A. AR-4</t>
  </si>
  <si>
    <t>3. FASĀDE ASĪS 1--4. AR-5</t>
  </si>
  <si>
    <t>PVC  ventilācijas restes d.125 mm montāža</t>
  </si>
  <si>
    <t>Lietus kanalizācijas pieslēgumu pārcelt 200-250 mm tālāk no cokola daļas</t>
  </si>
  <si>
    <t>4. FASĀDE ASĪS 4--1. AR-6</t>
  </si>
  <si>
    <t>Atjaunot stiegrojuma aizsargslāni pirms siltināšanas darbiem pārsedzei</t>
  </si>
  <si>
    <t>Esošā EL kabeļa pārcelšana uz atjaunoto fasādi, saglabajot esošo novietojumu</t>
  </si>
  <si>
    <t>ENSTO S70 distances naglas komplektā ar 300 mm garām dībeļnaglām</t>
  </si>
  <si>
    <t>Esošā EL kabeļa ar sensoru pārcelšana uz atjaunoto fasādi, saglabajot esošo novietojumu</t>
  </si>
  <si>
    <t>5.  SIENAS MŪRĒŠANA.      ŠĶĒLUMS 7--7.       AR--20. POZ.16--16.4</t>
  </si>
  <si>
    <t>Jaunās sienas mūrēšana  no gāzbetona blokiem</t>
  </si>
  <si>
    <t>Gāzbetonu bloks, 200 mm</t>
  </si>
  <si>
    <t>Līmjava</t>
  </si>
  <si>
    <t>Armējums</t>
  </si>
  <si>
    <t>Palīgmateriāli</t>
  </si>
  <si>
    <t>Jaunas sienas armēšana no iekšpuses</t>
  </si>
  <si>
    <t>Stūris ēku siltināšanai (ārējais un  iekšējais)</t>
  </si>
  <si>
    <t xml:space="preserve">Jaunas sienas gruntēšana, špaktelēšana, krāsošana no iekšpuses </t>
  </si>
  <si>
    <t>Gatava špaktele</t>
  </si>
  <si>
    <t>Smilšpapīrs</t>
  </si>
  <si>
    <t>Krāsa ārdarbiem</t>
  </si>
  <si>
    <t>6.  SIENAS MŪRĒŠANA.    ŠĶĒLUMS 12--12.    AR--31</t>
  </si>
  <si>
    <t>Baurock gāzbetona pārsedze 200*200*2000 mm</t>
  </si>
  <si>
    <t>Jaunas sienas armēšana no iekšpuses un ailei</t>
  </si>
  <si>
    <t>Jaunas sienas gruntēšana, špaktelēšana, krāsošana no iekšpuses un ailei</t>
  </si>
  <si>
    <t>7. FASĀDES SILTINĀŠANA. ASĪS 1--4.  AR--17</t>
  </si>
  <si>
    <t>Ārsienas plaknes līdzināšana, slāņa biezums līdz 5 mm (ja nepieciešams), pieņemts 50% no kopējās platības</t>
  </si>
  <si>
    <t>Siltumizolācijas montāža, 150 mm</t>
  </si>
  <si>
    <t>Fasādes izolācijas tapa ar Metāla naglu, 220 mm</t>
  </si>
  <si>
    <t>Vates tablete dībeļa priekšā</t>
  </si>
  <si>
    <t>Akmens vate ROCKWOOL FRONTROCK MAX E,  (lambda=0.036 W/mK), 150 mm, vai ekvivlents</t>
  </si>
  <si>
    <t>Perimetra profils ar lāseni, 150 mm, AL ar stiprinajumiem</t>
  </si>
  <si>
    <t>Stūris ēku siltināšanai, ārējais</t>
  </si>
  <si>
    <t>Iekšējais stūris  EJOT (vai ekvivalents) deformācijas profils stūrim 420</t>
  </si>
  <si>
    <t>Siltumizolācijas papildus armēšana. I.kategorija</t>
  </si>
  <si>
    <t>Grunts CT 17 vai ekvivalents</t>
  </si>
  <si>
    <t>Dekoratīvā apmetuma ierīkošana</t>
  </si>
  <si>
    <t>Tonēta Gruntskrāsa Ceresit CT 15 (vai ekvivalents)</t>
  </si>
  <si>
    <t>Tonēts apmetums ''Biezpiens'', graudu izmērs 2.0 mm Ceresit CT 72 (vai ekvivalents)</t>
  </si>
  <si>
    <t>8. FASĀDES SILTINĀŠANA. ASĪS A--E.  AR--17</t>
  </si>
  <si>
    <t>Līmjava Ceresit CT87 vai ekvivalents</t>
  </si>
  <si>
    <t>9. FASĀDES SILTINĀŠANA. ASĪS 4--1.  AR--17</t>
  </si>
  <si>
    <t>Akmens vate ROCKWOOL FRONTROCK MAX E,  (lambda=0.036 W/mK), 150 mm,  vai ekvivlents</t>
  </si>
  <si>
    <t>Gruntskrāsa Ceresit CT 15 (vai ekvivalents)</t>
  </si>
  <si>
    <t>10. FASĀDES SILTINĀŠANA. ASĪS E--A.              AR--17</t>
  </si>
  <si>
    <t>11. GĀZES VADA PARCELŠANA UN KRĀSOŠANA. AR-26</t>
  </si>
  <si>
    <t>Esošo gāzes vadu pārcelšana par 20 cm prom no esošās ēkas</t>
  </si>
  <si>
    <t>Gāzesvada pārkrāsošana ar pretkorozijas krāsu esošājā tonī</t>
  </si>
  <si>
    <t>12.AILAS APDARE. AR -22. 
FASĀDE ASĪS 4 - 1</t>
  </si>
  <si>
    <t>Logu  montāžas putas Penosil (vai ekvivalents), balons 750 ml</t>
  </si>
  <si>
    <t>bal</t>
  </si>
  <si>
    <t>Apdare no ārpuses</t>
  </si>
  <si>
    <t>Loga pielaiduma profila ar sietu montāža</t>
  </si>
  <si>
    <t>Stūra profils ar lāseni un armējošo sietu ar montāžu</t>
  </si>
  <si>
    <t>Ārējo stūra profila montāža</t>
  </si>
  <si>
    <t>Siltumizolācijas montāža, 30mm</t>
  </si>
  <si>
    <t>Akmens vate ROCKWOOL FRONTROCK S,  (lambda=0.037 W/mK), 30 mm, vai ekvivlents</t>
  </si>
  <si>
    <t>Gruntskrāsa Ceresit CT 15 vai ekvivalents</t>
  </si>
  <si>
    <t>Tonēts apmetums ''Biezpiens'', graudu izmērs 2.0 mm Ceresit CT 72 vai ekvivalents</t>
  </si>
  <si>
    <t>Apdare no iekšpuses</t>
  </si>
  <si>
    <t>Ģipškartona montāža</t>
  </si>
  <si>
    <t>J līstes montāža</t>
  </si>
  <si>
    <t>Ailes gruntēšana, špaktelēšana, slīpēšana</t>
  </si>
  <si>
    <t>Ailas krāsošana divās kārtās</t>
  </si>
  <si>
    <t>Gruntskrāsa</t>
  </si>
  <si>
    <t>Krāsa iekšdarbiem</t>
  </si>
  <si>
    <t>13. AILAS APDARE. AR -22. 
FASĀDE ASĪS E - A</t>
  </si>
  <si>
    <t>14. AILAS APDARE. AR -22. 
FASĀDE ASĪS 1 - 4</t>
  </si>
  <si>
    <t>15. AILAS APDARE. AR -22. 
FASĀDE ASĪS A - E</t>
  </si>
  <si>
    <t>COKOLA APDARE</t>
  </si>
  <si>
    <t>1. COKOLA SILTINĀŠANA. ŠĶĒLUMS 1--1, 2--2, 3--3, 4--4. ASĪS 1--4.  AR-13, AR-14, AR-15, AR-16, AR-18</t>
  </si>
  <si>
    <t>Zemes rakšanas darbi dziļumā līdz 1000 mm no apmales virsmas un aizberšanas darbi, blietējot pa kārtām, tai skaitā liekās grunts izvešana</t>
  </si>
  <si>
    <t>Noņemt esošo, atslāņojušo apmetumu</t>
  </si>
  <si>
    <t>Uzziežama bitumena mastikas vertikāla hidroizolācija</t>
  </si>
  <si>
    <t>Ārsienas plaknes līdzināšana, slāņa biezums līdz 5 mm (ja nepieciešams)</t>
  </si>
  <si>
    <t>Siltumizolācijas montāža, 100 mm</t>
  </si>
  <si>
    <t>Poliuretāna līme Ceresit CT 84 (vai ekvivalents)</t>
  </si>
  <si>
    <t>balons</t>
  </si>
  <si>
    <t>Dībeļi Ejot H4 eco (vai ekvivalents)</t>
  </si>
  <si>
    <t>Putupolistirola tablete dībeļa priekšā</t>
  </si>
  <si>
    <t>Pamatu putupolistirols EPS 150, 100 mm, (lambda=0.034 W/mK)</t>
  </si>
  <si>
    <t>Siltumizolācijas montāža, 150 mm. (ŠĶĒLUMS 2--2. AR-14)</t>
  </si>
  <si>
    <t>Hermētiķis</t>
  </si>
  <si>
    <t>Dībeļi Ejot H4 eco vai ekvialents</t>
  </si>
  <si>
    <t>Siltumizolācijas montāža, 150 mm. (ŠĶĒLUMS 12--12. AR-31)</t>
  </si>
  <si>
    <t>Poliuretāna līme Ceresit CT 84 (vai analogs)</t>
  </si>
  <si>
    <t>Dībeļi Ejot H4 eco (vai analogi)</t>
  </si>
  <si>
    <t>Līmjava Ceresit CT 85 Flex vai ekvivalents</t>
  </si>
  <si>
    <t>Stūris ēku siltināšanai</t>
  </si>
  <si>
    <t>2. COKOLA SILTINĀŠANA. ŠĶĒLUMS 1--1, 2--2, 3--3, 4--4. ASĪS A--E.  AR-13, AR-14, AR-15, AR-16, AR-18</t>
  </si>
  <si>
    <t xml:space="preserve">Grunts Ceresit CT 17 (vai ekvivalents) </t>
  </si>
  <si>
    <t>Cementa - kaļķu apmetums Ceresit ZKP (vai ekvivalents)</t>
  </si>
  <si>
    <t>3. COKOLA SILTINĀŠANA. ŠĶĒLUMS 1--1, 2--2, 3--3, 4--4. ASĪS 4--1.  AR-13, AR-14, AR-15, AR-16, AR-18</t>
  </si>
  <si>
    <t>Poliuretāna līme Ceresit CT 84 vai ekvivalents</t>
  </si>
  <si>
    <t>Dībeļi Ejot H4 eco  vai ekvivalents</t>
  </si>
  <si>
    <t xml:space="preserve">Līmjava Ceresit CT 85 F </t>
  </si>
  <si>
    <t>4. COKOLA SILTINĀŠANA. ŠĶĒLUMS 1--1, 2--2, 3--3, 4--4. ASĪS E--A.  AR-13, AR-14, AR-15, AR-16, AR-18</t>
  </si>
  <si>
    <t>JUMTA REMONTS</t>
  </si>
  <si>
    <t>1. JUMTA IZBŪVE. AR-12, AR-24, AR-25</t>
  </si>
  <si>
    <t>Jumta seguma ieklāšana</t>
  </si>
  <si>
    <t>Skārda loksnes CLASSIC, 0.5 mm, PE pārklājums</t>
  </si>
  <si>
    <t>Jumta seguma stiprinājumi un citi palīgmateriāli</t>
  </si>
  <si>
    <t>Šķērslatojuma montāža</t>
  </si>
  <si>
    <t>Antiseptizēts kokmateriāls 25*100 mm</t>
  </si>
  <si>
    <t>Stiprinājumi un palīgmateriāli</t>
  </si>
  <si>
    <t>Garenlatojuma montāža</t>
  </si>
  <si>
    <t>Antiseptizēts kokmateriāls 50*50 mm</t>
  </si>
  <si>
    <t>Antikondensātplēves ieklāšana</t>
  </si>
  <si>
    <t>Antikondensāt plēve</t>
  </si>
  <si>
    <t>Skārda lāsenis ar piegādi un montāžu</t>
  </si>
  <si>
    <t>Jumta margu ar sniegu berjeru piegāde un montāža</t>
  </si>
  <si>
    <t>Jumta lūkas piegāde un montāža</t>
  </si>
  <si>
    <t>Kores skārda nosegdetaļa, 0.5 mm, PE pārklājums ar piegādi un montāžu</t>
  </si>
  <si>
    <t>Kores ventilācijas profils, 0.5 mm, PE pārklājums ar piegādi un montāžu</t>
  </si>
  <si>
    <t>Sānu skārda nosegdetaļa ar vēja maliņu, 0.5 mm, PE pārklājums ar piegādi un montāžu</t>
  </si>
  <si>
    <t>Antiseptizēts kokmateriāls 60*80 mm ar piegādi un montāžu</t>
  </si>
  <si>
    <t>Profilēts skārds T20, 0.5 mm, PE pārklājums ar piegādi un montāžu</t>
  </si>
  <si>
    <t>Lietus ūdens teknes d.150 mm ar stiprinājumiem ar piegādi un montāžu</t>
  </si>
  <si>
    <t>Lietus ūdens notekas ar stiprinājumiem ar piegādi un montāžu</t>
  </si>
  <si>
    <t>Montāžas palīgmateriāli</t>
  </si>
  <si>
    <t>Celtņa vai pacēlāja izmntošana materiālu pacelšanai uz jumtu</t>
  </si>
  <si>
    <t>m/st</t>
  </si>
  <si>
    <t>Nepieciešamības gadījumā būvdarbu zonas pārklāšana ar pagaidu tentu lietus laikā</t>
  </si>
  <si>
    <t>2. ĶIEGEĻU VENTILĀCIJAS KANĀLU PĀRMŪRĒŠANA.  AR-12</t>
  </si>
  <si>
    <t>Pārmūrēt ķieģeļu ventilācijas kanālus virs jumta seguma</t>
  </si>
  <si>
    <t>Silikātķieģeļi, 250*120*65 mm</t>
  </si>
  <si>
    <t>Karstumizturīgā mūrjava</t>
  </si>
  <si>
    <t>Mūrēšanas darbu sastatņu noma</t>
  </si>
  <si>
    <t>Ķieģeļu ventilācijas izvadu apdare virs jumta seguma</t>
  </si>
  <si>
    <t>Antiseptizēts kokmateriāls 25*50 mm, latojums montējams horizontāli</t>
  </si>
  <si>
    <t>Ķieģeļu ventilācijas iavada virs jumta seguma apšuvums ar profilētu skārdu PP20</t>
  </si>
  <si>
    <t>Skārda nosegdetaļa jumta un ventilācijas izvada savienojuma vietā</t>
  </si>
  <si>
    <t>Skārda nosegdetaļa pa perimetru ventilācijas izvada augšai (uz stūra/kantes)</t>
  </si>
  <si>
    <t>Ķieģeļu ventilācijas izvadiem uzstādīt skārda jumtiņus</t>
  </si>
  <si>
    <t>3. DZELZBETONA KONSOLVEIDA PLĀTNES APDARE. AR-24</t>
  </si>
  <si>
    <t>Jauno atvērumu izveide dzelzbetona  konsolveida plātnē lietus ūdens notekam</t>
  </si>
  <si>
    <t>Antiseptizēts kokmateriāls 25*50 mm</t>
  </si>
  <si>
    <t>Dzelzbetona  konsolveida plātnes plaknes remonts un līdzināšana, slāņa biezums līdz 5 mm (ja nepieciešams)</t>
  </si>
  <si>
    <t>Dzelzbetona konsolveida plātnes armēšana</t>
  </si>
  <si>
    <t>Gruntkrāsa CERESIT CT 15 vai ekvivalents</t>
  </si>
  <si>
    <t>Tonēts apmetums ''Biezpiens'', graudu izmērs 2.0 mm Ceresit CT 72 vai ekvialents</t>
  </si>
  <si>
    <t>4. ŠĶĒLUMS 5--5. JUMTS. FASĀDE ASĪS D--B.  AR--19</t>
  </si>
  <si>
    <t>Lēzena akmens vates pāreja</t>
  </si>
  <si>
    <t>Skārda nosegdetaļu montāža</t>
  </si>
  <si>
    <t>Skārda nosegelements, 0.5 mm, PE pārklājums</t>
  </si>
  <si>
    <t>Skrūves</t>
  </si>
  <si>
    <t>Jumta seguma ieklāšana, izmantojot bitumena ruļļveida vienslāņa materiālu, iekskaitot uzlocijumus un vietas, kur segums jālīmē dubultā</t>
  </si>
  <si>
    <t>TECHNONICOL Technoelast EKP K-YC 5500, plakano jumtu segums, vienkārtas vai ekvivalents</t>
  </si>
  <si>
    <t>Bitumena mastika</t>
  </si>
  <si>
    <t>Gāze</t>
  </si>
  <si>
    <t>5. ŠĶĒLUMS 6--6. JUMTS. FASĀDE ASĪS 1--4.  AR--19</t>
  </si>
  <si>
    <t>6.  LIEVENIS UN JUMTS.  ŠĶĒLUMS 7--7.           AR-20</t>
  </si>
  <si>
    <t>Skārda nosegdetaļa 0.5mm ar PE pārklajumu ar piegādi un montāžu, platums 200 mm</t>
  </si>
  <si>
    <t>Skārda nosegdetaļa ar vēja maliņu 0.5mm ar PE pārklajumu ar piegādi un montāžu, (ŠĶĒLUMS A--A, poz.17)</t>
  </si>
  <si>
    <t>PVC stūris ēku siltināšanai</t>
  </si>
  <si>
    <t>Lietus ūdens teknes d.125 mm ar stiprinājumiem ar piegādi un montāžu</t>
  </si>
  <si>
    <t>Lietus ūdens notekas d.87 mm ar stiprinājumiem ar piegādi un montāžu</t>
  </si>
  <si>
    <t>APDARES DARBI</t>
  </si>
  <si>
    <t>1. PAGRABA LOGU IESTRĀDES/APDARES MEZGLS.   ŠĶĒLUMS 8--8.  FASĀDE ASĪS 1--4. AR-21</t>
  </si>
  <si>
    <t>Logu apdare no ārpuses</t>
  </si>
  <si>
    <t>Loga diffūzijas lentas montāža</t>
  </si>
  <si>
    <t>Ārējo skārda palodžu piegāde un montāža, b=200 mm</t>
  </si>
  <si>
    <t>Logu apdare no iekšpuses</t>
  </si>
  <si>
    <t>Tvaika necaurlaidīga lentas montāža</t>
  </si>
  <si>
    <t>Skārda nosegdetaļas paperimetru izgatavošana un montāža</t>
  </si>
  <si>
    <t>Ailas apakšejās daļas aizmūrēšana ar keramzītbetona blokiem 3 Mpa, 100*185*490 mm</t>
  </si>
  <si>
    <t>2. PAGRABA LOGU IESTRĀDES/APDARES MEZGLS.   ŠĶĒLUMS 8--8.  FASĀDE ASĪS 4--1. AR-21 (tai skaitā fasādes A--E logs)</t>
  </si>
  <si>
    <t>3. APDARES DARBI PĒC ŪDENSVADA UN KANALIZĀCIJAS CAUURĻU MONTĀŽAS</t>
  </si>
  <si>
    <t>Stāvvadu šahtu atvēršana, aizvēršana, špaktelēšana (stāvvadam jābūt aizvērtam līdz baltajai apdarei)</t>
  </si>
  <si>
    <t>Pārsegumu šķērsošanas vietas uzlabošana (špaktelēšana, krāsošana) un ugunsdrošās manžetes uzstādīšana kanalizācijas stāvvadiem</t>
  </si>
  <si>
    <t>vietas</t>
  </si>
  <si>
    <t>4. APDARES DARBI PĒC RADIATORU MONTĀŽAS</t>
  </si>
  <si>
    <t>Apdares darbi pēc radiatoru montāžas</t>
  </si>
  <si>
    <t xml:space="preserve">Pārsegumu šķērsošanas vietas uzlabošana (špaktelēšana, krāsošana) </t>
  </si>
  <si>
    <t>BĒNIŅU SILTINĀŠANA</t>
  </si>
  <si>
    <t>1. BĒNIŅU STĀVA SILTINĀŠANA. AR-11</t>
  </si>
  <si>
    <t>Iztīrīt bēniņu telpu no esošājiem gružiem</t>
  </si>
  <si>
    <t>Tvaika izolācijas ieklāšana uz bēniņu grīdas</t>
  </si>
  <si>
    <t>PVC tvaika izolācija</t>
  </si>
  <si>
    <t>PVC līmlenta šuvēm</t>
  </si>
  <si>
    <t>Bēniņu grīdas siltināšana ar mehanizeto iestrādi, siltumizolācijas kopējais biezums pēc materiāla sēšanas 320 mm</t>
  </si>
  <si>
    <t>Beramā vate BLT 3 (lambda=0.041 W/mK), Paroc vai ekvivalents</t>
  </si>
  <si>
    <t>2. BĒNIŅU LAIPAS. AR-29</t>
  </si>
  <si>
    <t>Koka laipas ar platumu 1200 mm izbūve</t>
  </si>
  <si>
    <t>Antiseptizētas koka brusas 50*200 mm</t>
  </si>
  <si>
    <t>Antiseptizētas koka brusas 50*100 mm</t>
  </si>
  <si>
    <t>Antiseptizētas koka dēļi 30*100 mm</t>
  </si>
  <si>
    <t>Stiprinājumi (naglas, skrūves)</t>
  </si>
  <si>
    <t>Palīgmateriāli (ruberoids, utt.)</t>
  </si>
  <si>
    <t>Koka laipas ar platumu 1600 mm izbūve</t>
  </si>
  <si>
    <t>Koka trepes nokļūšanai uz jumtu ar izgatavošanu un montāžu no antiseptizēta kokmateriāla 50*100 mm</t>
  </si>
  <si>
    <t>3. BĒNIŅU LŪKAS BL-1 MONTĀŽA. AR-30</t>
  </si>
  <si>
    <t>Bēniņu ugunsdrošās lūkas FAKRO LSF 900*700 mm EI-60 piegāde un montāža vai ekvivalents</t>
  </si>
  <si>
    <t>Bēniņu lūkas koka karkasa izbūve</t>
  </si>
  <si>
    <t>Antiseptizētas koka brusas 50*50 mm</t>
  </si>
  <si>
    <t>Antiseptizētas koka stati 50*50 mm</t>
  </si>
  <si>
    <t>Metāla pakāpieni</t>
  </si>
  <si>
    <t>Ugunsdrošas montāžas putas Penosil vai ekvivalents</t>
  </si>
  <si>
    <t>20 cm zonā ap lūku griestus špaktelēt un krāsot</t>
  </si>
  <si>
    <t>4. VENTILĀCIJAS KANĀLU TĪRĪŠANA. AR-11</t>
  </si>
  <si>
    <t>Ventilācijas kanalu tīŗīšana visā to garumā un vilkmes pārbaude, ko pārbauda sertificēts skursteņslauķis. Kanālu skaits precizējams veicot būvdarbus. Pieņēmts ka vienā komplektā ir 4 ventkanāli. Kopējais skaits precizējams veicot būvdarbus</t>
  </si>
  <si>
    <t>Vilkmes pārbaude, skursteņslauķa pakalpojumi</t>
  </si>
  <si>
    <t>LABIEKARTOŠANAS DARBI</t>
  </si>
  <si>
    <t>Tāme sastādīta  2019. gada tirgus cenās, pamatojoties uz AR un DOP daļas rasējumiem</t>
  </si>
  <si>
    <t>1. BRUĢĒŠANAS DARBI. APMALE</t>
  </si>
  <si>
    <t>Bruģēšanas darbi, apmales platums 600 mm</t>
  </si>
  <si>
    <t>Betona bruģakmens "Prizma", 60 mm</t>
  </si>
  <si>
    <t>Sīkšķembas, 2-8mm, slānis 30 mm</t>
  </si>
  <si>
    <t>Šķembas, 16-45mm, 250 mm</t>
  </si>
  <si>
    <t>Smilts, 800-1000 mm</t>
  </si>
  <si>
    <t>Ietves apmales 80*200*1000 mm</t>
  </si>
  <si>
    <t>Apbetonējums apmalei</t>
  </si>
  <si>
    <t>Dalīta kabeļu aizsargcaurules, d.110 mm, iestrāde zem bruģa seguma</t>
  </si>
  <si>
    <t>Elektrokabeļa marķējuma lentas montāža</t>
  </si>
  <si>
    <t>2. ESOŠĀ BRUĢAKMENS SEGUMA REMONTS</t>
  </si>
  <si>
    <t>Esošā bruģakmens seguma remonts 1 m platā joslā</t>
  </si>
  <si>
    <t>Betona bruģakmens "Prizma", 60 mm, piepērkams, 10%</t>
  </si>
  <si>
    <t>3. ZĀLIENA ATJAUNOŠANA.</t>
  </si>
  <si>
    <t>Zāliena atjaunošana, pievedot  augsnes kārtu - 50 mm biezumā, saglabājot reljefu ar kritumu prom no ēkas</t>
  </si>
  <si>
    <t>Melnzeme</t>
  </si>
  <si>
    <t>Sēklas</t>
  </si>
  <si>
    <t>APKURE</t>
  </si>
  <si>
    <t>Tāme sastādīta  2019. gada tirgus cenās, pamatojoties uz AVK daļas rasējumiem</t>
  </si>
  <si>
    <t>1. APKURE</t>
  </si>
  <si>
    <t>Vecās sistēmas demontāža</t>
  </si>
  <si>
    <t>objekts</t>
  </si>
  <si>
    <t>Tērauda presējama  caurule - apkurei, Fe,  d15-15x1</t>
  </si>
  <si>
    <t>Tērauda presējama  caurule - apkurei, Fe, d18- 18x1</t>
  </si>
  <si>
    <t>Tērauda presējama  caurule - apkurei, Fe, d22- 22x1,2</t>
  </si>
  <si>
    <t>Tērauda presējama  caurule - apkurei, Fe, d28- 28x1,2</t>
  </si>
  <si>
    <t>Tērauda presējama  caurule - apkurei, Fe, d35- 35x1,5</t>
  </si>
  <si>
    <t>Tērauda presējama  caurule - apkurei, Fe, d42- 42x1,5</t>
  </si>
  <si>
    <t>Tērauda presējama  caurule - apkurei, Fe, d54- 54x1,5</t>
  </si>
  <si>
    <t>Tērauda presējams līkums 90 gr., Fe, 15</t>
  </si>
  <si>
    <t>Tērauda presējams līkums 90 gr., Fe, 18</t>
  </si>
  <si>
    <t>Tērauda presējams līkums 90 gr., Fe, 22</t>
  </si>
  <si>
    <t>Tērauda presējams līkums 90 gr., Fe, 28</t>
  </si>
  <si>
    <t>Tērauda presējams līkums 90 gr., Fe, 35</t>
  </si>
  <si>
    <t>Tērauda presējams T-gabals 90 gr., Fe, 15/15</t>
  </si>
  <si>
    <t>Tērauda presējams T-gabals 90 gr., Fe, 18/18/15</t>
  </si>
  <si>
    <t>Tērauda presējams T-gabals 90 gr., Fe, 18/18</t>
  </si>
  <si>
    <t>Tērauda presējams T-gabals 90 gr., Fe, 22/22/15</t>
  </si>
  <si>
    <t>Tērauda presējams T-gabals 90 gr., Fe, 22/22/18</t>
  </si>
  <si>
    <t>Tērauda presējams T-gabals 90 gr., Fe, 22/22</t>
  </si>
  <si>
    <t>Tērauda presējams T-gabals 90 gr., Fe, 22/22/28</t>
  </si>
  <si>
    <t>Tērauda presējams T-gabals 90 gr., Fe, 28/28/15</t>
  </si>
  <si>
    <t>Tērauda presējams T-gabals 90 gr., Fe, 28/28/18</t>
  </si>
  <si>
    <t>Tērauda presējams T-gabals 90 gr., Fe, 28/28/22</t>
  </si>
  <si>
    <t>Tērauda presējams T-gabals 90 gr., Fe, 28/28</t>
  </si>
  <si>
    <t>Tērauda presējams T-gabals 90 gr., Fe, 35/35/15</t>
  </si>
  <si>
    <t>Tērauda presējams T-gabals 90 gr., Fe, 35/35/18</t>
  </si>
  <si>
    <t>Tērauda presējams T-gabals 90 gr., Fe, 35/35/22</t>
  </si>
  <si>
    <t>Tērauda presējams T-gabals 90 gr., Fe, 35/35/28</t>
  </si>
  <si>
    <t>Tērauda presējams X-gabals 90 gr., Fe, 35/35/42</t>
  </si>
  <si>
    <t>Tērauda presējams T-gabals 90 gr., Fe, 42/42/22</t>
  </si>
  <si>
    <t>Tērauda presējams T-gabals 90 gr., Fe, 42/42/28</t>
  </si>
  <si>
    <t>Tērauda presējams T-gabals 90 gr., Fe, 42/42/54</t>
  </si>
  <si>
    <t>Tērauda presējams T-gabals 90 gr., Fe, 54/54/15</t>
  </si>
  <si>
    <t>Tērauda presējams T-gabals 90 gr., Fe, 54/54</t>
  </si>
  <si>
    <t>Tērauda presējams X-gabals 90 gr., Fe, 15/15</t>
  </si>
  <si>
    <t>Tērauda presējams X-gabals 90 gr., Fe, 15/15/18/18</t>
  </si>
  <si>
    <t>Tērauda presējams X-gabals 90 gr., Fe, 15/15/22/22</t>
  </si>
  <si>
    <t>Tērauda presējama pāreja, Fe, 18/15</t>
  </si>
  <si>
    <t>Tērauda presējama pāreja, Fe, 22/15</t>
  </si>
  <si>
    <t>Tērauda presējama pāreja, Fe, 22/18</t>
  </si>
  <si>
    <t>Tērauda presējama pāreja, Fe, 28/15</t>
  </si>
  <si>
    <t>Tērauda presējama pāreja, Fe, 28/18</t>
  </si>
  <si>
    <t>Tērauda presējama pāreja, Fe, 28/22</t>
  </si>
  <si>
    <t>Tērauda presējama pāreja, Fe, 35/15</t>
  </si>
  <si>
    <t>Tērauda presējama pāreja, Fe, 35/22</t>
  </si>
  <si>
    <t>Tērauda presējama pāreja, Fe, 42/35</t>
  </si>
  <si>
    <t>Tērauda presējama pāreja, Fe, 54/42</t>
  </si>
  <si>
    <t>Tērauda radiators ar sienas stiprinājumiem un atgaisotāju, Purmo  Compact, C11-400-1000 vai ekvivalents</t>
  </si>
  <si>
    <t>Tērauda radiators ar sienas stiprinājumiem un atgaisotāju, Purmo  Compact, C11-400-1100 vai ekvivalents</t>
  </si>
  <si>
    <t>Tērauda radiators ar sienas stiprinājumiem un atgaisotāju, Purmo  Compact, C11-400-700 vai ekvivalents</t>
  </si>
  <si>
    <t>Tērauda radiators ar sienas stiprinājumiem un atgaisotāju, Purmo  Compact, C11-400-900 vai ekvivalents</t>
  </si>
  <si>
    <t>Tērauda radiators ar sienas stiprinājumiem un atgaisotāju, Purmo  Compact, C22-400-1000 vai ekvivalents</t>
  </si>
  <si>
    <t>Tērauda radiators ar sienas stiprinājumiem un atgaisotāju, Purmo  Compact, C22-400-1100 vai ekvivalents</t>
  </si>
  <si>
    <t>Tērauda radiators ar sienas stiprinājumiem un atgaisotāju, Purmo  Compact, C22-400-1200 vai ekvivalents</t>
  </si>
  <si>
    <t>Tērauda radiators ar sienas stiprinājumiem un atgaisotāju, Purmo  Compact, C22-400-800 vai ekvivalents</t>
  </si>
  <si>
    <t>Tērauda radiators ar sienas stiprinājumiem un atgaisotāju, Purmo  Compact, C22-400-900 vai ekvivalents</t>
  </si>
  <si>
    <t>Tērauda radiators ar sienas stiprinājumiem un atgaisotāju, Purmo  Compact, C33-400-900 vai ekvivalents</t>
  </si>
  <si>
    <t>Radiatora termogalva ar vārstu komplekts, RA-DV Dn15, RA 2000 ar tempratūras ierobežojumu +16 °C,  Danfoss vai ekvivalents</t>
  </si>
  <si>
    <t>Radiatora termogalva ar vārstu komplekts pret zādzību, RA-DV Dn15, RA 2000 pret zādzību +16 °C, danfoss vai ekvivalents</t>
  </si>
  <si>
    <t>Radiatora noslēgvārsts ar priekšiestādījumu,  RLV Dn 15, Danfoss</t>
  </si>
  <si>
    <t>Lodveida ventilis t=110˚; P=8 bar, 15</t>
  </si>
  <si>
    <t>Lodveida ventilis t=110˚; P=8 bar, 20</t>
  </si>
  <si>
    <t>Lodveida ventilis t=110˚; P=8 bar, 25</t>
  </si>
  <si>
    <t>Lodveida ventilis t=110˚; P=8 bar, 40</t>
  </si>
  <si>
    <t>Lodveida ventilis t=110˚; P=8 bar, 50</t>
  </si>
  <si>
    <t>Balansēšanas vārsts t=110˚; P=8 bar, 40</t>
  </si>
  <si>
    <t>Balansēšanas vārsts t=110˚; P=8 bar, 50</t>
  </si>
  <si>
    <t>Izlaides ventilis ar gala vāku, Dn15</t>
  </si>
  <si>
    <t>Akmensvates izolācijas čaula, ar alum. atstarojošo slāni; b=50mm, Siltumizol. čaula PAROC Hvac Section AluCoat T 18/50, Paroc (λD=0,045 W/m*K) vai ekvivalents</t>
  </si>
  <si>
    <t>Akmensvates izolācijas čaula, ar alum. atstarojošo slāni; b=50mm, Siltumizol. čaula PAROC Hvac Section AluCoat T 22/50, Paroc (λD=0,045 W/m*K) vai ekvivalents</t>
  </si>
  <si>
    <t>Akmensvates izolācijas čaula, ar alum. atstarojošo slāni; b=50mm, Siltumizol. čaula PAROC Hvac Section AluCoat T 28/50, Paroc (λD=0,045 W/m*K) vai ekvivalents</t>
  </si>
  <si>
    <t>Akmensvates izolācijas čaula, ar alum. atstarojošo slāni; b=50mm, Siltumizol. čaula PAROC Hvac Section AluCoat T 35/50,  Paroc (λD=0,045 W/m*K) vai ekvivalents</t>
  </si>
  <si>
    <t>Akmensvates izolācijas čaula, ar alum. atstarojošo slāni; b=50mm, Siltumizol. čaula PAROC Hvac Section AluCoat T 42/50, Paroc (λD=0,045 W/m*K) vai ekvivalents</t>
  </si>
  <si>
    <t>Akmensvates izolācijas čaula, ar alum. atstarojošo slāni; b=50mm, Siltumizol. čaula PAROC Hvac Section AluCoat T 54/50, Paroc (λD=0,045 W/m*K) vai ekvivalents</t>
  </si>
  <si>
    <t>Siltumizolācijas fasondaļas</t>
  </si>
  <si>
    <t>PVC pārklājums</t>
  </si>
  <si>
    <t>Kompensātori</t>
  </si>
  <si>
    <t>Nekustīgie balsti</t>
  </si>
  <si>
    <t>Montāžas komplekts</t>
  </si>
  <si>
    <t xml:space="preserve">Apkures  hidrauliskās pārbaude un sistēmas skalošana </t>
  </si>
  <si>
    <t xml:space="preserve">Radiatoru vietas uzlabošana (špaktelēšana, krāsošana) </t>
  </si>
  <si>
    <t>Individuālais siltuma sadalītājs (alokātors)</t>
  </si>
  <si>
    <t>Siltuma sadalītāja datu savācējs</t>
  </si>
  <si>
    <t>Apkures sistēmas palaišanu un ieregulēšanu</t>
  </si>
  <si>
    <t>Armatūras marķēšana</t>
  </si>
  <si>
    <t>Pieslēgums SM</t>
  </si>
  <si>
    <t>ŪDENSVADS UN KANALIZĀCIJA</t>
  </si>
  <si>
    <t>Tāme sastādīta  2019. gada tirgus cenās, pamatojoties uz ŪKdaļas rasējumiem</t>
  </si>
  <si>
    <t>1. ŪDENSVADS</t>
  </si>
  <si>
    <t>PPR caurule ar šķiedru ūdenim, 20x2,8</t>
  </si>
  <si>
    <t>PPR caurule ar šķiedru ūdenim, 25x3,5</t>
  </si>
  <si>
    <t>PPR caurule ar šķiedru ūdenim, 32x3,6</t>
  </si>
  <si>
    <t>PPR caurule ar šķiedru ūdenim, 40x4,5</t>
  </si>
  <si>
    <t>PPR caurule ar šķiedru ūdenim, 50x5,6</t>
  </si>
  <si>
    <t>PPR caurule ar šķiedru ūdenim, 63x7,1</t>
  </si>
  <si>
    <t>PPR caurule ar šķiedru ūdenim, 75x8,4</t>
  </si>
  <si>
    <t>PPR caurule ar šķiedru ūdenim, 100x12,3</t>
  </si>
  <si>
    <t>PPR līkums 90 gr., 20</t>
  </si>
  <si>
    <t>PPR līkums 90 gr., 32</t>
  </si>
  <si>
    <t>PPR līkums 90 gr., 40</t>
  </si>
  <si>
    <t>PPR līkums 90 gr., 50</t>
  </si>
  <si>
    <t>PPR līkums 90 gr., 63</t>
  </si>
  <si>
    <t>PPR līkums 90 gr., 100</t>
  </si>
  <si>
    <t>PPR T-gabals 90 gr. ūdenim, 20/20</t>
  </si>
  <si>
    <t>PPR T-gabals 90 gr. ūdenim, 25/25/20</t>
  </si>
  <si>
    <t>PPR T-gabals 90 gr. ūdenim, 32/32/20</t>
  </si>
  <si>
    <t>PPR T-gabals 90 gr. ūdenim, 32/32</t>
  </si>
  <si>
    <t>PPR T-gabals 90 gr. ūdenim, 32/32/40</t>
  </si>
  <si>
    <t>PPR T-gabals 90 gr. ūdenim, 40/40/20</t>
  </si>
  <si>
    <t>PPR X-gabals 90 gr. ūdenim, 40/40/32</t>
  </si>
  <si>
    <t>PPR T-gabals 90 gr. ūdenim, 40/40/50</t>
  </si>
  <si>
    <t>PPR T-gabals 90 gr. ūdenim, 50/50/32</t>
  </si>
  <si>
    <t>PPR T-gabals 90 gr. ūdenim, 50/50</t>
  </si>
  <si>
    <t>PPR T-gabals 90 gr. ūdenim, 63/63/32</t>
  </si>
  <si>
    <t>PPR T-gabals 90 gr. ūdenim, 63/63/50</t>
  </si>
  <si>
    <t>PPR T-gabals 90 gr. ūdenim, 63/63/75</t>
  </si>
  <si>
    <t>PPR T-gabals 90 gr. ūdenim, 100/100/75</t>
  </si>
  <si>
    <t>PPR X-gabals ūdenim, 32/32/20/20</t>
  </si>
  <si>
    <t>PPR X-gabals ūdenim, 40/40/32/32</t>
  </si>
  <si>
    <t>PPR X-gabals ūdenim, 50/50/32/32</t>
  </si>
  <si>
    <t>PPR X-gabals ūdenim, 63/63/32/32</t>
  </si>
  <si>
    <t>PPR pāreja, 25/20</t>
  </si>
  <si>
    <t>PPR pāreja, 32/20</t>
  </si>
  <si>
    <t>PPR pāreja, 32/25</t>
  </si>
  <si>
    <t>PPR pāreja, 40/32</t>
  </si>
  <si>
    <t>PPR pāreja, 50/32</t>
  </si>
  <si>
    <t>PPR pāreja, 50/40</t>
  </si>
  <si>
    <t>PPR pāreja, 63/40</t>
  </si>
  <si>
    <t>PPR pāreja, 63/50</t>
  </si>
  <si>
    <t>PPR pāreja, 100/63</t>
  </si>
  <si>
    <t>Balansēšanas vārsts t=110˚; P=8 bar, Fe, 15</t>
  </si>
  <si>
    <t>Izlaides vārsts t=110˚; P=8 bar ar gala vāku, Fe, 15</t>
  </si>
  <si>
    <t>Lodveida ventilis t=110˚; P=8 bar, Fe, 15</t>
  </si>
  <si>
    <t>Lodveida ventilis t=110˚; P=8 bar, Fe, 25</t>
  </si>
  <si>
    <t>Lodveida ventilis t=110˚; P=8 bar, Fe, 32</t>
  </si>
  <si>
    <t>Lodveida ventilis t=110˚; P=8 bar, Fe, 40</t>
  </si>
  <si>
    <t>Lodveida ventilis t=110˚; P=8 bar, Fe, 50</t>
  </si>
  <si>
    <t>Lodveida ventilis t=110˚; P=8 bar, fe, 65</t>
  </si>
  <si>
    <t>Lodveida ventilis t=110˚; P=8 bar, Fe, 80</t>
  </si>
  <si>
    <t>Kaučuka izolācija- pretkondensāta aukstam ūdenim,  K-FLEX EC, 22/9mm vai ekvivalents</t>
  </si>
  <si>
    <t>Kaučuka izolācija- pretkondensāta aukstam ūdenim,  K-FLEX EC, 28/9mm  vai ekvivalents</t>
  </si>
  <si>
    <t>Kaučuka izolācija- pretkondensāta aukstam ūdenim,  K-FLEX EC, 35/9mm vai ekvivalents</t>
  </si>
  <si>
    <t>Kaučuka izolācija- pretkondensāta aukstam ūdenim,  K-FLEX EC, 54/9mm vai ekvivalents</t>
  </si>
  <si>
    <t>Kaučuka izolācija- pretkondensāta aukstam ūdenim,  K-FLEX EC, 64/9mm vai ekvivalents</t>
  </si>
  <si>
    <t>Kaučuka izolācija- pretkondensāta aukstam ūdenim,  K-FLEX EC, 75/9mm vai ekvivalents</t>
  </si>
  <si>
    <t>Kaučuka izolācija- pretkondensāta aukstam ūdenim,  K-FLEX EC, 114/9mm vai ekvivalents</t>
  </si>
  <si>
    <t>Akmensvates izolācijas čaula, ar alum. atstarojošo slāni; b=50mm, Paroc (λD=0,045 W/m*K), Siltumizol. čaula PAROC 22/50 Alucoat izolācija vai ekvivalents</t>
  </si>
  <si>
    <t>Akmensvates izolācijas čaula, ar alum. atstarojošo slāni; b=50mm, Paroc (λD=0,045 W/m*K), Siltumizol. čaula PAROC 28/50 Alucoat izolācija vai ekvivalents</t>
  </si>
  <si>
    <t>Akmensvates izolācijas čaula, ar alum. atstarojošo slāni; b=50mm, Paroc (λD=0,045 W/m*K), Siltumizol. čaula PAROC 35/50 Alucoat izolācija vai ekvivalents</t>
  </si>
  <si>
    <t>Akmensvates izolācijas čaula, ar alum. atstarojošo slāni; b=50mm, Paroc (λD=0,045 W/m*K), Siltumizol. čaula PAROC 42/50 Alucoat izolācija vai ekvivalents</t>
  </si>
  <si>
    <t>Akmensvates izolācijas čaula, ar alum. atstarojošo slāni; b=50mm, Paroc (λD=0,045 W/m*K), Siltumizol. čaula PAROC 54/50 Alucoat izolācija vai ekvivalents</t>
  </si>
  <si>
    <t>Pievienojums ūdens ievadam</t>
  </si>
  <si>
    <t>Armatūra un veidgabali</t>
  </si>
  <si>
    <t>Dvieļu žāvētājs, U veida D25-700-500</t>
  </si>
  <si>
    <t>2. SADZĪVES KANALIZĀCIJA K1</t>
  </si>
  <si>
    <t>Kanalizācijas caurule, PP, 110</t>
  </si>
  <si>
    <t>Līkums, PP, 110</t>
  </si>
  <si>
    <t>Trejgabals, PP, 110/110</t>
  </si>
  <si>
    <t>Revīzija, PP, 110</t>
  </si>
  <si>
    <t>Alucoat izolācija trokšņa slāpēšanai, Paroc, 110/30</t>
  </si>
  <si>
    <t>Ugunsdrošības manžete, 110</t>
  </si>
  <si>
    <t>Kanalizācijas izvads, pievienojums akai, rakšanas darbi izvadu nomaiņai, aizsargčaulas (akai, šķērsojot ēkas pamatni)</t>
  </si>
  <si>
    <t>izvadi</t>
  </si>
  <si>
    <t>Seguma atjaunošanas darbi</t>
  </si>
  <si>
    <t>3. CITI MATERIĀLI UN DARBI</t>
  </si>
  <si>
    <t>Ūdensapgādes sistēmas hidrauliskās pārbaude un sistēmas skalošana , balansēšana un balansēšanas aktu sastādīšana</t>
  </si>
  <si>
    <t>Ūdens sistēmas palaišanu</t>
  </si>
  <si>
    <t>ZIBENSAIZSARDZĪBA</t>
  </si>
  <si>
    <t>Tāme sastādīta  2019. gada tirgus cenās, pamatojoties uz ELT daļas rasējumiem</t>
  </si>
  <si>
    <t>1. ZIBENSAIZSARDZĪBA. DARBS</t>
  </si>
  <si>
    <t>Zibens uztvērēja galvas montāža</t>
  </si>
  <si>
    <t>Uztvērēja masts ar atsaitēm montāža</t>
  </si>
  <si>
    <t>Metāla sitprinājums masta montāža pie mūra ventilācijas izvada</t>
  </si>
  <si>
    <t>Zibensnovedēja stieples  montāža</t>
  </si>
  <si>
    <t>Zibensnovedēja stieples aizsargapvalkā montāža</t>
  </si>
  <si>
    <t>Zemējuma lentas montāža</t>
  </si>
  <si>
    <t>Zemējuma elektroda montāža</t>
  </si>
  <si>
    <t>Stieples turētājs pa sienu, jumtu montāža</t>
  </si>
  <si>
    <t>Klemme stieples un stieples savienošanai montāža</t>
  </si>
  <si>
    <t>Klemme stieples un lentas savienošanai montāža</t>
  </si>
  <si>
    <t>Mērījumu klemmes stieple/stieple montāža</t>
  </si>
  <si>
    <t>Pretkorozijas lentas montāža</t>
  </si>
  <si>
    <t>Palīgmateriālu montāža</t>
  </si>
  <si>
    <t>2. ZIBENSAIZSARDZĪBA. MATERIĀLI</t>
  </si>
  <si>
    <t>Zibens uztvērēja galva LAP-CX 070 vai ekvivalents</t>
  </si>
  <si>
    <t>Uztvērēja masts ar atsaitēm- h=4m</t>
  </si>
  <si>
    <t>Metāla sitprinājums masta montāžai pie mūra ventilācijas izvada</t>
  </si>
  <si>
    <t>Zibensnovedēja stieple 8mm, aluminija</t>
  </si>
  <si>
    <t>Zibensnovedēja stieple 8mm, aluminija, aizsargapvalkā, atstājama zem pro. Siltumizolācijas</t>
  </si>
  <si>
    <t>Zemējuma lenta 30x3 karsti cinkota</t>
  </si>
  <si>
    <t>Zemējuma elektrods 3m, 20mm</t>
  </si>
  <si>
    <t>Stieples turētājs pa sienu, jumtu</t>
  </si>
  <si>
    <t>Klemme stieples un stieples savienošanai, aluminija</t>
  </si>
  <si>
    <t>Klemme stieples un lentas savienošanai, aluminija</t>
  </si>
  <si>
    <t>Mērījumu klemme stieple/stieple</t>
  </si>
  <si>
    <t>Pretkorozijas lente 50mm 10m/rullis</t>
  </si>
  <si>
    <t>Palīgmateriāli, neuzskaitītie materiāli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</si>
</sst>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;;"/>
    <numFmt numFmtId="165" formatCode="0;;"/>
    <numFmt numFmtId="166" formatCode="0.0%"/>
    <numFmt numFmtId="167" formatCode="0.0"/>
    <numFmt numFmtId="168" formatCode="0.000"/>
  </numFmts>
  <fonts count="22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8"/>
      <name val="Arial"/>
      <family val="2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</font>
    <font>
      <b/>
      <sz val="10"/>
      <color indexed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0"/>
      <color indexed="8"/>
      <name val="Times New Roman"/>
      <family val="1"/>
      <charset val="1"/>
    </font>
    <font>
      <sz val="8"/>
      <name val="Times New Roman"/>
      <family val="1"/>
      <charset val="186"/>
    </font>
    <font>
      <sz val="10"/>
      <name val="Times New Roman"/>
      <family val="1"/>
      <charset val="1"/>
    </font>
    <font>
      <sz val="10"/>
      <name val="Times New Roman"/>
      <family val="1"/>
    </font>
    <font>
      <sz val="10"/>
      <color indexed="10"/>
      <name val="Times New Roman"/>
      <family val="1"/>
      <charset val="186"/>
    </font>
    <font>
      <b/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4" fillId="0" borderId="0"/>
    <xf numFmtId="0" fontId="10" fillId="0" borderId="0"/>
    <xf numFmtId="0" fontId="3" fillId="0" borderId="0"/>
  </cellStyleXfs>
  <cellXfs count="29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6" xfId="0" applyFont="1" applyBorder="1"/>
    <xf numFmtId="4" fontId="1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10" xfId="0" applyFont="1" applyBorder="1"/>
    <xf numFmtId="0" fontId="2" fillId="0" borderId="11" xfId="0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2" fontId="1" fillId="0" borderId="0" xfId="0" applyNumberFormat="1" applyFont="1"/>
    <xf numFmtId="0" fontId="2" fillId="0" borderId="31" xfId="0" applyFont="1" applyBorder="1" applyAlignment="1">
      <alignment horizontal="center"/>
    </xf>
    <xf numFmtId="0" fontId="1" fillId="0" borderId="0" xfId="0" applyFont="1" applyAlignment="1">
      <alignment vertical="center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left"/>
    </xf>
    <xf numFmtId="164" fontId="2" fillId="0" borderId="10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0" xfId="0" applyNumberFormat="1" applyFont="1"/>
    <xf numFmtId="164" fontId="1" fillId="0" borderId="36" xfId="0" applyNumberFormat="1" applyFont="1" applyBorder="1" applyAlignment="1">
      <alignment horizontal="center"/>
    </xf>
    <xf numFmtId="164" fontId="1" fillId="0" borderId="3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vertical="center"/>
    </xf>
    <xf numFmtId="9" fontId="1" fillId="0" borderId="0" xfId="0" applyNumberFormat="1" applyFont="1"/>
    <xf numFmtId="165" fontId="1" fillId="0" borderId="0" xfId="0" applyNumberFormat="1" applyFont="1" applyAlignment="1">
      <alignment vertical="center"/>
    </xf>
    <xf numFmtId="0" fontId="1" fillId="0" borderId="42" xfId="0" applyFont="1" applyBorder="1"/>
    <xf numFmtId="2" fontId="1" fillId="0" borderId="3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 wrapText="1"/>
    </xf>
    <xf numFmtId="164" fontId="1" fillId="0" borderId="43" xfId="0" applyNumberFormat="1" applyFont="1" applyBorder="1" applyAlignment="1">
      <alignment horizontal="center" vertical="center" wrapText="1"/>
    </xf>
    <xf numFmtId="164" fontId="1" fillId="0" borderId="16" xfId="0" quotePrefix="1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2" fillId="0" borderId="34" xfId="0" applyFont="1" applyBorder="1" applyAlignment="1">
      <alignment horizontal="center" vertical="center" textRotation="90" wrapText="1"/>
    </xf>
    <xf numFmtId="164" fontId="2" fillId="0" borderId="10" xfId="3" applyNumberFormat="1" applyFont="1" applyBorder="1" applyAlignment="1">
      <alignment horizontal="center" vertical="center"/>
    </xf>
    <xf numFmtId="164" fontId="2" fillId="0" borderId="13" xfId="3" applyNumberFormat="1" applyFont="1" applyBorder="1" applyAlignment="1">
      <alignment horizontal="center" vertical="center"/>
    </xf>
    <xf numFmtId="164" fontId="2" fillId="0" borderId="14" xfId="3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1" fillId="0" borderId="41" xfId="0" applyFont="1" applyBorder="1" applyAlignment="1">
      <alignment wrapText="1"/>
    </xf>
    <xf numFmtId="0" fontId="2" fillId="0" borderId="41" xfId="0" applyFont="1" applyBorder="1" applyAlignment="1">
      <alignment wrapText="1"/>
    </xf>
    <xf numFmtId="0" fontId="2" fillId="0" borderId="39" xfId="0" applyFont="1" applyBorder="1" applyAlignment="1">
      <alignment wrapText="1"/>
    </xf>
    <xf numFmtId="164" fontId="1" fillId="0" borderId="0" xfId="0" applyNumberFormat="1" applyFont="1" applyAlignment="1">
      <alignment horizontal="center" vertical="justify"/>
    </xf>
    <xf numFmtId="1" fontId="1" fillId="0" borderId="5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/>
    </xf>
    <xf numFmtId="0" fontId="5" fillId="0" borderId="6" xfId="1" applyFont="1" applyBorder="1" applyAlignment="1">
      <alignment wrapText="1"/>
    </xf>
    <xf numFmtId="1" fontId="1" fillId="0" borderId="5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0" fontId="1" fillId="0" borderId="0" xfId="0" applyFont="1" applyAlignment="1">
      <alignment vertical="justify"/>
    </xf>
    <xf numFmtId="9" fontId="1" fillId="0" borderId="40" xfId="0" applyNumberFormat="1" applyFont="1" applyBorder="1" applyAlignment="1"/>
    <xf numFmtId="9" fontId="1" fillId="0" borderId="0" xfId="0" applyNumberFormat="1" applyFont="1" applyAlignment="1"/>
    <xf numFmtId="9" fontId="1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14" fontId="1" fillId="0" borderId="0" xfId="0" applyNumberFormat="1" applyFont="1" applyAlignment="1"/>
    <xf numFmtId="165" fontId="1" fillId="0" borderId="1" xfId="0" applyNumberFormat="1" applyFont="1" applyBorder="1" applyAlignment="1"/>
    <xf numFmtId="1" fontId="1" fillId="0" borderId="0" xfId="0" applyNumberFormat="1" applyFont="1" applyAlignment="1"/>
    <xf numFmtId="0" fontId="1" fillId="0" borderId="6" xfId="0" applyFont="1" applyBorder="1" applyAlignment="1">
      <alignment wrapText="1"/>
    </xf>
    <xf numFmtId="49" fontId="1" fillId="0" borderId="41" xfId="0" applyNumberFormat="1" applyFont="1" applyBorder="1" applyAlignment="1">
      <alignment wrapText="1"/>
    </xf>
    <xf numFmtId="0" fontId="14" fillId="0" borderId="29" xfId="0" applyFont="1" applyFill="1" applyBorder="1" applyAlignment="1">
      <alignment horizontal="left" vertical="center" wrapText="1"/>
    </xf>
    <xf numFmtId="0" fontId="6" fillId="0" borderId="29" xfId="0" applyFont="1" applyFill="1" applyBorder="1" applyAlignment="1">
      <alignment horizontal="center" vertical="center"/>
    </xf>
    <xf numFmtId="0" fontId="13" fillId="0" borderId="29" xfId="4" applyFont="1" applyFill="1" applyBorder="1" applyAlignment="1">
      <alignment horizontal="left" vertical="center" wrapText="1"/>
    </xf>
    <xf numFmtId="2" fontId="7" fillId="0" borderId="30" xfId="4" applyNumberFormat="1" applyFont="1" applyFill="1" applyBorder="1" applyAlignment="1">
      <alignment horizontal="center" vertical="center" wrapText="1"/>
    </xf>
    <xf numFmtId="2" fontId="9" fillId="0" borderId="30" xfId="0" applyNumberFormat="1" applyFont="1" applyFill="1" applyBorder="1" applyAlignment="1">
      <alignment horizontal="center" vertical="center"/>
    </xf>
    <xf numFmtId="0" fontId="11" fillId="0" borderId="5" xfId="4" applyFont="1" applyFill="1" applyBorder="1" applyAlignment="1">
      <alignment horizontal="center" vertical="center"/>
    </xf>
    <xf numFmtId="0" fontId="2" fillId="0" borderId="41" xfId="0" applyFont="1" applyBorder="1" applyAlignment="1">
      <alignment vertical="center" wrapText="1"/>
    </xf>
    <xf numFmtId="2" fontId="6" fillId="0" borderId="47" xfId="0" applyNumberFormat="1" applyFont="1" applyFill="1" applyBorder="1" applyAlignment="1">
      <alignment horizontal="center" vertical="center"/>
    </xf>
    <xf numFmtId="4" fontId="6" fillId="0" borderId="29" xfId="5" applyNumberFormat="1" applyFont="1" applyFill="1" applyBorder="1" applyAlignment="1" applyProtection="1">
      <alignment horizontal="center" vertical="center"/>
    </xf>
    <xf numFmtId="4" fontId="6" fillId="0" borderId="30" xfId="5" applyNumberFormat="1" applyFont="1" applyFill="1" applyBorder="1" applyAlignment="1" applyProtection="1">
      <alignment horizontal="center" vertical="center"/>
    </xf>
    <xf numFmtId="4" fontId="6" fillId="0" borderId="21" xfId="5" applyNumberFormat="1" applyFont="1" applyFill="1" applyBorder="1" applyAlignment="1" applyProtection="1">
      <alignment horizontal="center" vertical="center"/>
    </xf>
    <xf numFmtId="4" fontId="6" fillId="0" borderId="22" xfId="5" applyNumberFormat="1" applyFont="1" applyFill="1" applyBorder="1" applyAlignment="1" applyProtection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29" xfId="4" applyFont="1" applyFill="1" applyBorder="1" applyAlignment="1">
      <alignment horizontal="center" vertical="center" wrapText="1"/>
    </xf>
    <xf numFmtId="4" fontId="6" fillId="0" borderId="21" xfId="1" applyNumberFormat="1" applyFont="1" applyFill="1" applyBorder="1" applyAlignment="1" applyProtection="1">
      <alignment horizontal="center" vertical="center"/>
    </xf>
    <xf numFmtId="0" fontId="1" fillId="0" borderId="0" xfId="0" applyFont="1" applyFill="1"/>
    <xf numFmtId="0" fontId="6" fillId="0" borderId="29" xfId="4" applyFont="1" applyFill="1" applyBorder="1" applyAlignment="1">
      <alignment horizontal="center" vertical="center"/>
    </xf>
    <xf numFmtId="4" fontId="6" fillId="0" borderId="22" xfId="1" applyNumberFormat="1" applyFont="1" applyFill="1" applyBorder="1" applyAlignment="1" applyProtection="1">
      <alignment horizontal="center" vertical="center"/>
    </xf>
    <xf numFmtId="0" fontId="1" fillId="0" borderId="4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4" fontId="6" fillId="0" borderId="45" xfId="1" applyNumberFormat="1" applyFont="1" applyFill="1" applyBorder="1" applyAlignment="1" applyProtection="1">
      <alignment horizontal="center" vertical="center"/>
    </xf>
    <xf numFmtId="4" fontId="6" fillId="0" borderId="46" xfId="1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wrapText="1"/>
    </xf>
    <xf numFmtId="164" fontId="1" fillId="0" borderId="2" xfId="2" applyNumberFormat="1" applyFont="1" applyBorder="1" applyAlignment="1">
      <alignment horizontal="center" vertical="center"/>
    </xf>
    <xf numFmtId="164" fontId="1" fillId="0" borderId="21" xfId="2" applyNumberFormat="1" applyFont="1" applyBorder="1" applyAlignment="1">
      <alignment horizontal="center" vertical="center"/>
    </xf>
    <xf numFmtId="164" fontId="2" fillId="0" borderId="22" xfId="2" applyNumberFormat="1" applyFont="1" applyBorder="1" applyAlignment="1">
      <alignment horizontal="center" vertical="center"/>
    </xf>
    <xf numFmtId="4" fontId="6" fillId="0" borderId="5" xfId="5" applyNumberFormat="1" applyFont="1" applyFill="1" applyBorder="1" applyAlignment="1" applyProtection="1">
      <alignment horizontal="center" vertical="center"/>
    </xf>
    <xf numFmtId="4" fontId="6" fillId="0" borderId="2" xfId="5" applyNumberFormat="1" applyFont="1" applyFill="1" applyBorder="1" applyAlignment="1" applyProtection="1">
      <alignment horizontal="center" vertical="center"/>
    </xf>
    <xf numFmtId="4" fontId="6" fillId="0" borderId="2" xfId="1" applyNumberFormat="1" applyFont="1" applyFill="1" applyBorder="1" applyAlignment="1" applyProtection="1">
      <alignment horizontal="center" vertical="center"/>
    </xf>
    <xf numFmtId="4" fontId="6" fillId="0" borderId="44" xfId="1" applyNumberFormat="1" applyFont="1" applyFill="1" applyBorder="1" applyAlignment="1" applyProtection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4" fontId="9" fillId="0" borderId="21" xfId="1" applyNumberFormat="1" applyFont="1" applyFill="1" applyBorder="1" applyAlignment="1" applyProtection="1">
      <alignment horizontal="center" vertical="center"/>
    </xf>
    <xf numFmtId="4" fontId="18" fillId="0" borderId="22" xfId="1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/>
    </xf>
    <xf numFmtId="2" fontId="1" fillId="0" borderId="0" xfId="0" applyNumberFormat="1" applyFont="1" applyFill="1" applyAlignment="1">
      <alignment vertical="center"/>
    </xf>
    <xf numFmtId="9" fontId="1" fillId="0" borderId="0" xfId="0" applyNumberFormat="1" applyFont="1" applyFill="1" applyAlignment="1"/>
    <xf numFmtId="165" fontId="1" fillId="0" borderId="1" xfId="0" applyNumberFormat="1" applyFont="1" applyFill="1" applyBorder="1" applyAlignment="1"/>
    <xf numFmtId="0" fontId="6" fillId="0" borderId="2" xfId="1" applyFont="1" applyBorder="1" applyAlignment="1">
      <alignment horizontal="center" vertical="center"/>
    </xf>
    <xf numFmtId="0" fontId="6" fillId="0" borderId="21" xfId="1" applyFont="1" applyBorder="1" applyAlignment="1">
      <alignment vertical="center"/>
    </xf>
    <xf numFmtId="0" fontId="8" fillId="0" borderId="21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2" fontId="15" fillId="0" borderId="22" xfId="1" applyNumberFormat="1" applyFont="1" applyBorder="1" applyAlignment="1">
      <alignment horizontal="center" vertical="center"/>
    </xf>
    <xf numFmtId="4" fontId="6" fillId="0" borderId="20" xfId="1" applyNumberFormat="1" applyFont="1" applyBorder="1" applyAlignment="1">
      <alignment horizontal="center" vertical="center"/>
    </xf>
    <xf numFmtId="4" fontId="6" fillId="0" borderId="21" xfId="1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9" xfId="0" applyFont="1" applyBorder="1" applyAlignment="1">
      <alignment vertical="center" wrapText="1"/>
    </xf>
    <xf numFmtId="2" fontId="6" fillId="0" borderId="29" xfId="0" applyNumberFormat="1" applyFont="1" applyBorder="1" applyAlignment="1">
      <alignment horizontal="center" vertical="center" wrapText="1"/>
    </xf>
    <xf numFmtId="2" fontId="7" fillId="0" borderId="30" xfId="0" applyNumberFormat="1" applyFont="1" applyBorder="1" applyAlignment="1">
      <alignment horizontal="center" vertical="center" wrapText="1"/>
    </xf>
    <xf numFmtId="2" fontId="6" fillId="0" borderId="47" xfId="0" applyNumberFormat="1" applyFont="1" applyBorder="1" applyAlignment="1">
      <alignment horizontal="center" vertical="center"/>
    </xf>
    <xf numFmtId="4" fontId="6" fillId="0" borderId="29" xfId="5" applyNumberFormat="1" applyFont="1" applyBorder="1" applyAlignment="1">
      <alignment horizontal="center" vertical="center"/>
    </xf>
    <xf numFmtId="4" fontId="6" fillId="0" borderId="29" xfId="0" applyNumberFormat="1" applyFont="1" applyBorder="1" applyAlignment="1">
      <alignment horizontal="center" vertical="center"/>
    </xf>
    <xf numFmtId="2" fontId="6" fillId="0" borderId="29" xfId="0" applyNumberFormat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6" fillId="0" borderId="29" xfId="1" applyFont="1" applyBorder="1" applyAlignment="1">
      <alignment vertical="center"/>
    </xf>
    <xf numFmtId="0" fontId="8" fillId="0" borderId="29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2" fontId="15" fillId="0" borderId="30" xfId="1" applyNumberFormat="1" applyFont="1" applyBorder="1" applyAlignment="1">
      <alignment horizontal="center" vertical="center"/>
    </xf>
    <xf numFmtId="4" fontId="6" fillId="0" borderId="47" xfId="1" applyNumberFormat="1" applyFont="1" applyBorder="1" applyAlignment="1">
      <alignment horizontal="center" vertical="center"/>
    </xf>
    <xf numFmtId="4" fontId="6" fillId="0" borderId="29" xfId="1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2" fontId="6" fillId="0" borderId="20" xfId="0" applyNumberFormat="1" applyFont="1" applyBorder="1" applyAlignment="1">
      <alignment horizontal="center" vertical="center"/>
    </xf>
    <xf numFmtId="4" fontId="6" fillId="0" borderId="21" xfId="5" applyNumberFormat="1" applyFont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0" fontId="11" fillId="0" borderId="5" xfId="4" applyFont="1" applyBorder="1" applyAlignment="1">
      <alignment horizontal="center" vertical="center"/>
    </xf>
    <xf numFmtId="0" fontId="12" fillId="0" borderId="29" xfId="4" applyFont="1" applyBorder="1" applyAlignment="1">
      <alignment horizontal="center" vertical="center"/>
    </xf>
    <xf numFmtId="0" fontId="13" fillId="0" borderId="29" xfId="4" applyFont="1" applyBorder="1" applyAlignment="1">
      <alignment horizontal="left" vertical="center" wrapText="1"/>
    </xf>
    <xf numFmtId="0" fontId="13" fillId="0" borderId="29" xfId="4" applyFont="1" applyBorder="1" applyAlignment="1">
      <alignment horizontal="center" vertical="center" wrapText="1"/>
    </xf>
    <xf numFmtId="2" fontId="7" fillId="0" borderId="30" xfId="4" applyNumberFormat="1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14" fillId="0" borderId="29" xfId="0" applyFont="1" applyBorder="1" applyAlignment="1">
      <alignment vertical="center" wrapText="1"/>
    </xf>
    <xf numFmtId="2" fontId="9" fillId="0" borderId="30" xfId="0" applyNumberFormat="1" applyFont="1" applyBorder="1" applyAlignment="1">
      <alignment horizontal="center" vertical="center"/>
    </xf>
    <xf numFmtId="0" fontId="14" fillId="0" borderId="29" xfId="0" applyFont="1" applyBorder="1" applyAlignment="1">
      <alignment horizontal="left" vertical="center" wrapText="1"/>
    </xf>
    <xf numFmtId="0" fontId="14" fillId="0" borderId="29" xfId="0" applyFont="1" applyBorder="1" applyAlignment="1">
      <alignment horizontal="right" vertical="center" wrapText="1"/>
    </xf>
    <xf numFmtId="0" fontId="6" fillId="0" borderId="44" xfId="1" applyFont="1" applyBorder="1" applyAlignment="1">
      <alignment horizontal="center" vertical="center"/>
    </xf>
    <xf numFmtId="0" fontId="6" fillId="0" borderId="45" xfId="1" applyFont="1" applyBorder="1" applyAlignment="1">
      <alignment vertical="center"/>
    </xf>
    <xf numFmtId="0" fontId="8" fillId="0" borderId="45" xfId="1" applyFont="1" applyBorder="1" applyAlignment="1">
      <alignment horizontal="center" vertical="center" wrapText="1"/>
    </xf>
    <xf numFmtId="0" fontId="6" fillId="0" borderId="45" xfId="1" applyFont="1" applyBorder="1" applyAlignment="1">
      <alignment horizontal="center" vertical="center" wrapText="1"/>
    </xf>
    <xf numFmtId="2" fontId="15" fillId="0" borderId="46" xfId="1" applyNumberFormat="1" applyFont="1" applyBorder="1" applyAlignment="1">
      <alignment horizontal="center" vertical="center"/>
    </xf>
    <xf numFmtId="4" fontId="6" fillId="0" borderId="48" xfId="1" applyNumberFormat="1" applyFont="1" applyBorder="1" applyAlignment="1">
      <alignment horizontal="center" vertical="center"/>
    </xf>
    <xf numFmtId="4" fontId="6" fillId="0" borderId="45" xfId="1" applyNumberFormat="1" applyFont="1" applyBorder="1" applyAlignment="1">
      <alignment horizontal="center" vertical="center"/>
    </xf>
    <xf numFmtId="2" fontId="16" fillId="0" borderId="30" xfId="0" applyNumberFormat="1" applyFont="1" applyBorder="1" applyAlignment="1">
      <alignment horizontal="center" vertical="center"/>
    </xf>
    <xf numFmtId="167" fontId="9" fillId="0" borderId="30" xfId="0" applyNumberFormat="1" applyFont="1" applyBorder="1" applyAlignment="1">
      <alignment horizontal="center" vertical="center"/>
    </xf>
    <xf numFmtId="0" fontId="6" fillId="0" borderId="29" xfId="4" applyFont="1" applyBorder="1" applyAlignment="1">
      <alignment horizontal="center" vertical="center"/>
    </xf>
    <xf numFmtId="0" fontId="11" fillId="0" borderId="29" xfId="4" applyFont="1" applyBorder="1" applyAlignment="1">
      <alignment horizontal="left" vertical="center" wrapText="1"/>
    </xf>
    <xf numFmtId="0" fontId="11" fillId="0" borderId="29" xfId="4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4" fontId="6" fillId="0" borderId="29" xfId="5" applyNumberFormat="1" applyFont="1" applyFill="1" applyBorder="1" applyAlignment="1">
      <alignment horizontal="center" vertical="center"/>
    </xf>
    <xf numFmtId="4" fontId="6" fillId="0" borderId="29" xfId="0" applyNumberFormat="1" applyFont="1" applyFill="1" applyBorder="1" applyAlignment="1">
      <alignment horizontal="center" vertical="center"/>
    </xf>
    <xf numFmtId="0" fontId="6" fillId="0" borderId="45" xfId="4" applyFont="1" applyBorder="1" applyAlignment="1">
      <alignment horizontal="center" vertical="center"/>
    </xf>
    <xf numFmtId="0" fontId="13" fillId="0" borderId="29" xfId="4" applyFont="1" applyBorder="1" applyAlignment="1">
      <alignment horizontal="right" vertical="center" wrapText="1"/>
    </xf>
    <xf numFmtId="0" fontId="21" fillId="0" borderId="0" xfId="0" applyFont="1" applyAlignment="1">
      <alignment vertical="center"/>
    </xf>
    <xf numFmtId="2" fontId="9" fillId="0" borderId="30" xfId="0" applyNumberFormat="1" applyFont="1" applyBorder="1" applyAlignment="1">
      <alignment horizontal="center" vertical="center" wrapText="1"/>
    </xf>
    <xf numFmtId="4" fontId="6" fillId="0" borderId="45" xfId="5" applyNumberFormat="1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left" vertical="center" wrapText="1"/>
    </xf>
    <xf numFmtId="0" fontId="17" fillId="0" borderId="29" xfId="0" applyFont="1" applyBorder="1" applyAlignment="1">
      <alignment horizontal="center" vertical="center" wrapText="1"/>
    </xf>
    <xf numFmtId="168" fontId="9" fillId="0" borderId="30" xfId="0" applyNumberFormat="1" applyFont="1" applyBorder="1" applyAlignment="1">
      <alignment horizontal="center" vertical="center"/>
    </xf>
    <xf numFmtId="0" fontId="17" fillId="0" borderId="29" xfId="0" applyFont="1" applyBorder="1" applyAlignment="1">
      <alignment vertical="center" wrapText="1"/>
    </xf>
    <xf numFmtId="2" fontId="7" fillId="0" borderId="30" xfId="0" applyNumberFormat="1" applyFont="1" applyBorder="1" applyAlignment="1">
      <alignment horizontal="center" vertical="center"/>
    </xf>
    <xf numFmtId="0" fontId="20" fillId="0" borderId="29" xfId="0" applyFont="1" applyBorder="1" applyAlignment="1">
      <alignment horizontal="left" vertical="center" wrapText="1"/>
    </xf>
    <xf numFmtId="1" fontId="20" fillId="0" borderId="29" xfId="0" applyNumberFormat="1" applyFont="1" applyBorder="1" applyAlignment="1">
      <alignment horizontal="center" vertical="center"/>
    </xf>
    <xf numFmtId="1" fontId="20" fillId="0" borderId="29" xfId="0" applyNumberFormat="1" applyFont="1" applyBorder="1" applyAlignment="1">
      <alignment horizontal="left" vertical="center"/>
    </xf>
    <xf numFmtId="1" fontId="20" fillId="0" borderId="29" xfId="0" applyNumberFormat="1" applyFont="1" applyBorder="1" applyAlignment="1">
      <alignment horizontal="left" vertical="center" wrapText="1"/>
    </xf>
    <xf numFmtId="1" fontId="20" fillId="0" borderId="29" xfId="0" applyNumberFormat="1" applyFont="1" applyBorder="1" applyAlignment="1">
      <alignment horizontal="center" vertical="center" wrapText="1"/>
    </xf>
    <xf numFmtId="0" fontId="17" fillId="0" borderId="29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center" vertical="center" wrapText="1"/>
    </xf>
    <xf numFmtId="4" fontId="6" fillId="0" borderId="6" xfId="5" applyNumberFormat="1" applyFont="1" applyBorder="1" applyAlignment="1">
      <alignment horizontal="center" vertical="center"/>
    </xf>
    <xf numFmtId="4" fontId="1" fillId="0" borderId="0" xfId="0" applyNumberFormat="1" applyFont="1"/>
    <xf numFmtId="164" fontId="6" fillId="0" borderId="5" xfId="2" applyNumberFormat="1" applyFont="1" applyBorder="1" applyAlignment="1">
      <alignment horizontal="center" vertical="center"/>
    </xf>
    <xf numFmtId="164" fontId="6" fillId="0" borderId="29" xfId="2" applyNumberFormat="1" applyFont="1" applyBorder="1" applyAlignment="1">
      <alignment horizontal="center" vertical="center"/>
    </xf>
    <xf numFmtId="164" fontId="6" fillId="0" borderId="30" xfId="2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justify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horizontal="right" vertical="justify"/>
    </xf>
    <xf numFmtId="164" fontId="2" fillId="0" borderId="41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top"/>
    </xf>
    <xf numFmtId="164" fontId="2" fillId="0" borderId="39" xfId="0" applyNumberFormat="1" applyFont="1" applyBorder="1" applyAlignment="1">
      <alignment horizontal="left"/>
    </xf>
    <xf numFmtId="0" fontId="1" fillId="0" borderId="0" xfId="0" applyFont="1" applyAlignment="1">
      <alignment horizontal="center" vertical="justify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1" fillId="0" borderId="39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left" vertical="top" wrapText="1"/>
    </xf>
    <xf numFmtId="164" fontId="1" fillId="0" borderId="22" xfId="0" applyNumberFormat="1" applyFont="1" applyBorder="1" applyAlignment="1">
      <alignment horizontal="left" vertical="top" wrapText="1"/>
    </xf>
    <xf numFmtId="164" fontId="1" fillId="0" borderId="29" xfId="0" applyNumberFormat="1" applyFont="1" applyBorder="1" applyAlignment="1">
      <alignment horizontal="left" vertical="top" wrapText="1"/>
    </xf>
    <xf numFmtId="164" fontId="1" fillId="0" borderId="30" xfId="0" applyNumberFormat="1" applyFont="1" applyBorder="1" applyAlignment="1">
      <alignment horizontal="left" vertical="top" wrapText="1"/>
    </xf>
    <xf numFmtId="164" fontId="1" fillId="0" borderId="29" xfId="0" applyNumberFormat="1" applyFont="1" applyBorder="1" applyAlignment="1">
      <alignment horizontal="left" vertical="center" wrapText="1"/>
    </xf>
    <xf numFmtId="164" fontId="1" fillId="0" borderId="30" xfId="0" applyNumberFormat="1" applyFont="1" applyBorder="1" applyAlignment="1">
      <alignment horizontal="left" vertical="center" wrapText="1"/>
    </xf>
    <xf numFmtId="0" fontId="2" fillId="0" borderId="37" xfId="0" applyFont="1" applyBorder="1" applyAlignment="1">
      <alignment horizontal="right"/>
    </xf>
    <xf numFmtId="0" fontId="2" fillId="0" borderId="38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0" fontId="2" fillId="0" borderId="33" xfId="0" applyFont="1" applyBorder="1" applyAlignment="1">
      <alignment horizontal="right"/>
    </xf>
    <xf numFmtId="0" fontId="2" fillId="0" borderId="34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2" fontId="1" fillId="0" borderId="0" xfId="0" applyNumberFormat="1" applyFont="1" applyAlignment="1">
      <alignment horizontal="right" vertical="center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textRotation="90"/>
    </xf>
    <xf numFmtId="0" fontId="1" fillId="0" borderId="33" xfId="0" applyFont="1" applyBorder="1" applyAlignment="1">
      <alignment horizontal="center" vertical="center" textRotation="90"/>
    </xf>
    <xf numFmtId="164" fontId="1" fillId="0" borderId="0" xfId="0" applyNumberFormat="1" applyFont="1" applyAlignment="1">
      <alignment horizontal="center" vertical="center"/>
    </xf>
    <xf numFmtId="165" fontId="1" fillId="0" borderId="39" xfId="0" applyNumberFormat="1" applyFont="1" applyBorder="1" applyAlignment="1">
      <alignment horizontal="left" wrapText="1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 textRotation="90" wrapText="1"/>
    </xf>
    <xf numFmtId="165" fontId="1" fillId="0" borderId="1" xfId="0" applyNumberFormat="1" applyFont="1" applyBorder="1" applyAlignment="1">
      <alignment wrapText="1"/>
    </xf>
    <xf numFmtId="0" fontId="2" fillId="0" borderId="10" xfId="3" applyFont="1" applyBorder="1" applyAlignment="1">
      <alignment horizontal="right" wrapText="1"/>
    </xf>
    <xf numFmtId="0" fontId="2" fillId="0" borderId="13" xfId="3" applyFont="1" applyBorder="1" applyAlignment="1">
      <alignment horizontal="right" wrapText="1"/>
    </xf>
    <xf numFmtId="0" fontId="2" fillId="0" borderId="14" xfId="3" applyFont="1" applyBorder="1" applyAlignment="1">
      <alignment horizontal="right" wrapText="1"/>
    </xf>
    <xf numFmtId="0" fontId="2" fillId="0" borderId="50" xfId="3" applyFont="1" applyBorder="1" applyAlignment="1">
      <alignment horizontal="right" wrapText="1"/>
    </xf>
    <xf numFmtId="0" fontId="2" fillId="0" borderId="51" xfId="3" applyFont="1" applyBorder="1" applyAlignment="1">
      <alignment horizontal="right" wrapText="1"/>
    </xf>
    <xf numFmtId="0" fontId="2" fillId="0" borderId="49" xfId="3" applyFont="1" applyBorder="1" applyAlignment="1">
      <alignment horizontal="right" wrapText="1"/>
    </xf>
    <xf numFmtId="0" fontId="1" fillId="0" borderId="4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21" xfId="0" applyFont="1" applyFill="1" applyBorder="1" applyAlignment="1">
      <alignment horizontal="center" vertical="center" textRotation="90" wrapText="1"/>
    </xf>
    <xf numFmtId="0" fontId="1" fillId="0" borderId="33" xfId="0" applyFont="1" applyFill="1" applyBorder="1" applyAlignment="1">
      <alignment horizontal="center" vertical="center" textRotation="90" wrapText="1"/>
    </xf>
    <xf numFmtId="0" fontId="1" fillId="0" borderId="21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</cellXfs>
  <cellStyles count="6">
    <cellStyle name="Excel Built-in Normal" xfId="4" xr:uid="{00000000-0005-0000-0000-000000000000}"/>
    <cellStyle name="Normal" xfId="0" builtinId="0"/>
    <cellStyle name="Normal 2" xfId="2" xr:uid="{00000000-0005-0000-0000-000002000000}"/>
    <cellStyle name="Обычный_33. OZOLNIEKU NOVADA DOME_OZO SKOLA_TELPU, GAITENU, KAPNU TELPU REMONTS_TAME_VADIMS_2011_02_25_melnraksts" xfId="1" xr:uid="{00000000-0005-0000-0000-000003000000}"/>
    <cellStyle name="Обычный_33. OZOLNIEKU NOVADA DOME_OZO SKOLA_TELPU, GAITENU, KAPNU TELPU REMONTS_TAME_VADIMS_2011_02_25_melnraksts_09. ELITE BRAIN_ZIKI_KUTS BUVNIECIBA_TAME_2013_08_01+EL labots" xfId="5" xr:uid="{00000000-0005-0000-0000-000004000000}"/>
    <cellStyle name="Обычный_saulkrasti_tame" xfId="3" xr:uid="{00000000-0005-0000-0000-000005000000}"/>
  </cellStyles>
  <dxfs count="407"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E36"/>
  <sheetViews>
    <sheetView zoomScaleNormal="100" zoomScaleSheetLayoutView="100" workbookViewId="0">
      <selection activeCell="B13" sqref="B13"/>
    </sheetView>
  </sheetViews>
  <sheetFormatPr defaultRowHeight="10.199999999999999" x14ac:dyDescent="0.2"/>
  <cols>
    <col min="1" max="1" width="16.88671875" style="1" customWidth="1"/>
    <col min="2" max="2" width="43.44140625" style="1" customWidth="1"/>
    <col min="3" max="3" width="22.44140625" style="1" customWidth="1"/>
    <col min="4" max="210" width="9.109375" style="1"/>
    <col min="211" max="211" width="1.44140625" style="1" customWidth="1"/>
    <col min="212" max="212" width="2.109375" style="1" customWidth="1"/>
    <col min="213" max="213" width="16.88671875" style="1" customWidth="1"/>
    <col min="214" max="214" width="43.44140625" style="1" customWidth="1"/>
    <col min="215" max="215" width="22.44140625" style="1" customWidth="1"/>
    <col min="216" max="216" width="9.109375" style="1"/>
    <col min="217" max="217" width="13.88671875" style="1" bestFit="1" customWidth="1"/>
    <col min="218" max="466" width="9.109375" style="1"/>
    <col min="467" max="467" width="1.44140625" style="1" customWidth="1"/>
    <col min="468" max="468" width="2.109375" style="1" customWidth="1"/>
    <col min="469" max="469" width="16.88671875" style="1" customWidth="1"/>
    <col min="470" max="470" width="43.44140625" style="1" customWidth="1"/>
    <col min="471" max="471" width="22.44140625" style="1" customWidth="1"/>
    <col min="472" max="472" width="9.109375" style="1"/>
    <col min="473" max="473" width="13.88671875" style="1" bestFit="1" customWidth="1"/>
    <col min="474" max="722" width="9.109375" style="1"/>
    <col min="723" max="723" width="1.44140625" style="1" customWidth="1"/>
    <col min="724" max="724" width="2.109375" style="1" customWidth="1"/>
    <col min="725" max="725" width="16.88671875" style="1" customWidth="1"/>
    <col min="726" max="726" width="43.44140625" style="1" customWidth="1"/>
    <col min="727" max="727" width="22.44140625" style="1" customWidth="1"/>
    <col min="728" max="728" width="9.109375" style="1"/>
    <col min="729" max="729" width="13.88671875" style="1" bestFit="1" customWidth="1"/>
    <col min="730" max="978" width="9.109375" style="1"/>
    <col min="979" max="979" width="1.44140625" style="1" customWidth="1"/>
    <col min="980" max="980" width="2.109375" style="1" customWidth="1"/>
    <col min="981" max="981" width="16.88671875" style="1" customWidth="1"/>
    <col min="982" max="982" width="43.44140625" style="1" customWidth="1"/>
    <col min="983" max="983" width="22.44140625" style="1" customWidth="1"/>
    <col min="984" max="984" width="9.109375" style="1"/>
    <col min="985" max="985" width="13.88671875" style="1" bestFit="1" customWidth="1"/>
    <col min="986" max="1234" width="9.109375" style="1"/>
    <col min="1235" max="1235" width="1.44140625" style="1" customWidth="1"/>
    <col min="1236" max="1236" width="2.109375" style="1" customWidth="1"/>
    <col min="1237" max="1237" width="16.88671875" style="1" customWidth="1"/>
    <col min="1238" max="1238" width="43.44140625" style="1" customWidth="1"/>
    <col min="1239" max="1239" width="22.44140625" style="1" customWidth="1"/>
    <col min="1240" max="1240" width="9.109375" style="1"/>
    <col min="1241" max="1241" width="13.88671875" style="1" bestFit="1" customWidth="1"/>
    <col min="1242" max="1490" width="9.109375" style="1"/>
    <col min="1491" max="1491" width="1.44140625" style="1" customWidth="1"/>
    <col min="1492" max="1492" width="2.109375" style="1" customWidth="1"/>
    <col min="1493" max="1493" width="16.88671875" style="1" customWidth="1"/>
    <col min="1494" max="1494" width="43.44140625" style="1" customWidth="1"/>
    <col min="1495" max="1495" width="22.44140625" style="1" customWidth="1"/>
    <col min="1496" max="1496" width="9.109375" style="1"/>
    <col min="1497" max="1497" width="13.88671875" style="1" bestFit="1" customWidth="1"/>
    <col min="1498" max="1746" width="9.109375" style="1"/>
    <col min="1747" max="1747" width="1.44140625" style="1" customWidth="1"/>
    <col min="1748" max="1748" width="2.109375" style="1" customWidth="1"/>
    <col min="1749" max="1749" width="16.88671875" style="1" customWidth="1"/>
    <col min="1750" max="1750" width="43.44140625" style="1" customWidth="1"/>
    <col min="1751" max="1751" width="22.44140625" style="1" customWidth="1"/>
    <col min="1752" max="1752" width="9.109375" style="1"/>
    <col min="1753" max="1753" width="13.88671875" style="1" bestFit="1" customWidth="1"/>
    <col min="1754" max="2002" width="9.109375" style="1"/>
    <col min="2003" max="2003" width="1.44140625" style="1" customWidth="1"/>
    <col min="2004" max="2004" width="2.109375" style="1" customWidth="1"/>
    <col min="2005" max="2005" width="16.88671875" style="1" customWidth="1"/>
    <col min="2006" max="2006" width="43.44140625" style="1" customWidth="1"/>
    <col min="2007" max="2007" width="22.44140625" style="1" customWidth="1"/>
    <col min="2008" max="2008" width="9.109375" style="1"/>
    <col min="2009" max="2009" width="13.88671875" style="1" bestFit="1" customWidth="1"/>
    <col min="2010" max="2258" width="9.109375" style="1"/>
    <col min="2259" max="2259" width="1.44140625" style="1" customWidth="1"/>
    <col min="2260" max="2260" width="2.109375" style="1" customWidth="1"/>
    <col min="2261" max="2261" width="16.88671875" style="1" customWidth="1"/>
    <col min="2262" max="2262" width="43.44140625" style="1" customWidth="1"/>
    <col min="2263" max="2263" width="22.44140625" style="1" customWidth="1"/>
    <col min="2264" max="2264" width="9.109375" style="1"/>
    <col min="2265" max="2265" width="13.88671875" style="1" bestFit="1" customWidth="1"/>
    <col min="2266" max="2514" width="9.109375" style="1"/>
    <col min="2515" max="2515" width="1.44140625" style="1" customWidth="1"/>
    <col min="2516" max="2516" width="2.109375" style="1" customWidth="1"/>
    <col min="2517" max="2517" width="16.88671875" style="1" customWidth="1"/>
    <col min="2518" max="2518" width="43.44140625" style="1" customWidth="1"/>
    <col min="2519" max="2519" width="22.44140625" style="1" customWidth="1"/>
    <col min="2520" max="2520" width="9.109375" style="1"/>
    <col min="2521" max="2521" width="13.88671875" style="1" bestFit="1" customWidth="1"/>
    <col min="2522" max="2770" width="9.109375" style="1"/>
    <col min="2771" max="2771" width="1.44140625" style="1" customWidth="1"/>
    <col min="2772" max="2772" width="2.109375" style="1" customWidth="1"/>
    <col min="2773" max="2773" width="16.88671875" style="1" customWidth="1"/>
    <col min="2774" max="2774" width="43.44140625" style="1" customWidth="1"/>
    <col min="2775" max="2775" width="22.44140625" style="1" customWidth="1"/>
    <col min="2776" max="2776" width="9.109375" style="1"/>
    <col min="2777" max="2777" width="13.88671875" style="1" bestFit="1" customWidth="1"/>
    <col min="2778" max="3026" width="9.109375" style="1"/>
    <col min="3027" max="3027" width="1.44140625" style="1" customWidth="1"/>
    <col min="3028" max="3028" width="2.109375" style="1" customWidth="1"/>
    <col min="3029" max="3029" width="16.88671875" style="1" customWidth="1"/>
    <col min="3030" max="3030" width="43.44140625" style="1" customWidth="1"/>
    <col min="3031" max="3031" width="22.44140625" style="1" customWidth="1"/>
    <col min="3032" max="3032" width="9.109375" style="1"/>
    <col min="3033" max="3033" width="13.88671875" style="1" bestFit="1" customWidth="1"/>
    <col min="3034" max="3282" width="9.109375" style="1"/>
    <col min="3283" max="3283" width="1.44140625" style="1" customWidth="1"/>
    <col min="3284" max="3284" width="2.109375" style="1" customWidth="1"/>
    <col min="3285" max="3285" width="16.88671875" style="1" customWidth="1"/>
    <col min="3286" max="3286" width="43.44140625" style="1" customWidth="1"/>
    <col min="3287" max="3287" width="22.44140625" style="1" customWidth="1"/>
    <col min="3288" max="3288" width="9.109375" style="1"/>
    <col min="3289" max="3289" width="13.88671875" style="1" bestFit="1" customWidth="1"/>
    <col min="3290" max="3538" width="9.109375" style="1"/>
    <col min="3539" max="3539" width="1.44140625" style="1" customWidth="1"/>
    <col min="3540" max="3540" width="2.109375" style="1" customWidth="1"/>
    <col min="3541" max="3541" width="16.88671875" style="1" customWidth="1"/>
    <col min="3542" max="3542" width="43.44140625" style="1" customWidth="1"/>
    <col min="3543" max="3543" width="22.44140625" style="1" customWidth="1"/>
    <col min="3544" max="3544" width="9.109375" style="1"/>
    <col min="3545" max="3545" width="13.88671875" style="1" bestFit="1" customWidth="1"/>
    <col min="3546" max="3794" width="9.109375" style="1"/>
    <col min="3795" max="3795" width="1.44140625" style="1" customWidth="1"/>
    <col min="3796" max="3796" width="2.109375" style="1" customWidth="1"/>
    <col min="3797" max="3797" width="16.88671875" style="1" customWidth="1"/>
    <col min="3798" max="3798" width="43.44140625" style="1" customWidth="1"/>
    <col min="3799" max="3799" width="22.44140625" style="1" customWidth="1"/>
    <col min="3800" max="3800" width="9.109375" style="1"/>
    <col min="3801" max="3801" width="13.88671875" style="1" bestFit="1" customWidth="1"/>
    <col min="3802" max="4050" width="9.109375" style="1"/>
    <col min="4051" max="4051" width="1.44140625" style="1" customWidth="1"/>
    <col min="4052" max="4052" width="2.109375" style="1" customWidth="1"/>
    <col min="4053" max="4053" width="16.88671875" style="1" customWidth="1"/>
    <col min="4054" max="4054" width="43.44140625" style="1" customWidth="1"/>
    <col min="4055" max="4055" width="22.44140625" style="1" customWidth="1"/>
    <col min="4056" max="4056" width="9.109375" style="1"/>
    <col min="4057" max="4057" width="13.88671875" style="1" bestFit="1" customWidth="1"/>
    <col min="4058" max="4306" width="9.109375" style="1"/>
    <col min="4307" max="4307" width="1.44140625" style="1" customWidth="1"/>
    <col min="4308" max="4308" width="2.109375" style="1" customWidth="1"/>
    <col min="4309" max="4309" width="16.88671875" style="1" customWidth="1"/>
    <col min="4310" max="4310" width="43.44140625" style="1" customWidth="1"/>
    <col min="4311" max="4311" width="22.44140625" style="1" customWidth="1"/>
    <col min="4312" max="4312" width="9.109375" style="1"/>
    <col min="4313" max="4313" width="13.88671875" style="1" bestFit="1" customWidth="1"/>
    <col min="4314" max="4562" width="9.109375" style="1"/>
    <col min="4563" max="4563" width="1.44140625" style="1" customWidth="1"/>
    <col min="4564" max="4564" width="2.109375" style="1" customWidth="1"/>
    <col min="4565" max="4565" width="16.88671875" style="1" customWidth="1"/>
    <col min="4566" max="4566" width="43.44140625" style="1" customWidth="1"/>
    <col min="4567" max="4567" width="22.44140625" style="1" customWidth="1"/>
    <col min="4568" max="4568" width="9.109375" style="1"/>
    <col min="4569" max="4569" width="13.88671875" style="1" bestFit="1" customWidth="1"/>
    <col min="4570" max="4818" width="9.109375" style="1"/>
    <col min="4819" max="4819" width="1.44140625" style="1" customWidth="1"/>
    <col min="4820" max="4820" width="2.109375" style="1" customWidth="1"/>
    <col min="4821" max="4821" width="16.88671875" style="1" customWidth="1"/>
    <col min="4822" max="4822" width="43.44140625" style="1" customWidth="1"/>
    <col min="4823" max="4823" width="22.44140625" style="1" customWidth="1"/>
    <col min="4824" max="4824" width="9.109375" style="1"/>
    <col min="4825" max="4825" width="13.88671875" style="1" bestFit="1" customWidth="1"/>
    <col min="4826" max="5074" width="9.109375" style="1"/>
    <col min="5075" max="5075" width="1.44140625" style="1" customWidth="1"/>
    <col min="5076" max="5076" width="2.109375" style="1" customWidth="1"/>
    <col min="5077" max="5077" width="16.88671875" style="1" customWidth="1"/>
    <col min="5078" max="5078" width="43.44140625" style="1" customWidth="1"/>
    <col min="5079" max="5079" width="22.44140625" style="1" customWidth="1"/>
    <col min="5080" max="5080" width="9.109375" style="1"/>
    <col min="5081" max="5081" width="13.88671875" style="1" bestFit="1" customWidth="1"/>
    <col min="5082" max="5330" width="9.109375" style="1"/>
    <col min="5331" max="5331" width="1.44140625" style="1" customWidth="1"/>
    <col min="5332" max="5332" width="2.109375" style="1" customWidth="1"/>
    <col min="5333" max="5333" width="16.88671875" style="1" customWidth="1"/>
    <col min="5334" max="5334" width="43.44140625" style="1" customWidth="1"/>
    <col min="5335" max="5335" width="22.44140625" style="1" customWidth="1"/>
    <col min="5336" max="5336" width="9.109375" style="1"/>
    <col min="5337" max="5337" width="13.88671875" style="1" bestFit="1" customWidth="1"/>
    <col min="5338" max="5586" width="9.109375" style="1"/>
    <col min="5587" max="5587" width="1.44140625" style="1" customWidth="1"/>
    <col min="5588" max="5588" width="2.109375" style="1" customWidth="1"/>
    <col min="5589" max="5589" width="16.88671875" style="1" customWidth="1"/>
    <col min="5590" max="5590" width="43.44140625" style="1" customWidth="1"/>
    <col min="5591" max="5591" width="22.44140625" style="1" customWidth="1"/>
    <col min="5592" max="5592" width="9.109375" style="1"/>
    <col min="5593" max="5593" width="13.88671875" style="1" bestFit="1" customWidth="1"/>
    <col min="5594" max="5842" width="9.109375" style="1"/>
    <col min="5843" max="5843" width="1.44140625" style="1" customWidth="1"/>
    <col min="5844" max="5844" width="2.109375" style="1" customWidth="1"/>
    <col min="5845" max="5845" width="16.88671875" style="1" customWidth="1"/>
    <col min="5846" max="5846" width="43.44140625" style="1" customWidth="1"/>
    <col min="5847" max="5847" width="22.44140625" style="1" customWidth="1"/>
    <col min="5848" max="5848" width="9.109375" style="1"/>
    <col min="5849" max="5849" width="13.88671875" style="1" bestFit="1" customWidth="1"/>
    <col min="5850" max="6098" width="9.109375" style="1"/>
    <col min="6099" max="6099" width="1.44140625" style="1" customWidth="1"/>
    <col min="6100" max="6100" width="2.109375" style="1" customWidth="1"/>
    <col min="6101" max="6101" width="16.88671875" style="1" customWidth="1"/>
    <col min="6102" max="6102" width="43.44140625" style="1" customWidth="1"/>
    <col min="6103" max="6103" width="22.44140625" style="1" customWidth="1"/>
    <col min="6104" max="6104" width="9.109375" style="1"/>
    <col min="6105" max="6105" width="13.88671875" style="1" bestFit="1" customWidth="1"/>
    <col min="6106" max="6354" width="9.109375" style="1"/>
    <col min="6355" max="6355" width="1.44140625" style="1" customWidth="1"/>
    <col min="6356" max="6356" width="2.109375" style="1" customWidth="1"/>
    <col min="6357" max="6357" width="16.88671875" style="1" customWidth="1"/>
    <col min="6358" max="6358" width="43.44140625" style="1" customWidth="1"/>
    <col min="6359" max="6359" width="22.44140625" style="1" customWidth="1"/>
    <col min="6360" max="6360" width="9.109375" style="1"/>
    <col min="6361" max="6361" width="13.88671875" style="1" bestFit="1" customWidth="1"/>
    <col min="6362" max="6610" width="9.109375" style="1"/>
    <col min="6611" max="6611" width="1.44140625" style="1" customWidth="1"/>
    <col min="6612" max="6612" width="2.109375" style="1" customWidth="1"/>
    <col min="6613" max="6613" width="16.88671875" style="1" customWidth="1"/>
    <col min="6614" max="6614" width="43.44140625" style="1" customWidth="1"/>
    <col min="6615" max="6615" width="22.44140625" style="1" customWidth="1"/>
    <col min="6616" max="6616" width="9.109375" style="1"/>
    <col min="6617" max="6617" width="13.88671875" style="1" bestFit="1" customWidth="1"/>
    <col min="6618" max="6866" width="9.109375" style="1"/>
    <col min="6867" max="6867" width="1.44140625" style="1" customWidth="1"/>
    <col min="6868" max="6868" width="2.109375" style="1" customWidth="1"/>
    <col min="6869" max="6869" width="16.88671875" style="1" customWidth="1"/>
    <col min="6870" max="6870" width="43.44140625" style="1" customWidth="1"/>
    <col min="6871" max="6871" width="22.44140625" style="1" customWidth="1"/>
    <col min="6872" max="6872" width="9.109375" style="1"/>
    <col min="6873" max="6873" width="13.88671875" style="1" bestFit="1" customWidth="1"/>
    <col min="6874" max="7122" width="9.109375" style="1"/>
    <col min="7123" max="7123" width="1.44140625" style="1" customWidth="1"/>
    <col min="7124" max="7124" width="2.109375" style="1" customWidth="1"/>
    <col min="7125" max="7125" width="16.88671875" style="1" customWidth="1"/>
    <col min="7126" max="7126" width="43.44140625" style="1" customWidth="1"/>
    <col min="7127" max="7127" width="22.44140625" style="1" customWidth="1"/>
    <col min="7128" max="7128" width="9.109375" style="1"/>
    <col min="7129" max="7129" width="13.88671875" style="1" bestFit="1" customWidth="1"/>
    <col min="7130" max="7378" width="9.109375" style="1"/>
    <col min="7379" max="7379" width="1.44140625" style="1" customWidth="1"/>
    <col min="7380" max="7380" width="2.109375" style="1" customWidth="1"/>
    <col min="7381" max="7381" width="16.88671875" style="1" customWidth="1"/>
    <col min="7382" max="7382" width="43.44140625" style="1" customWidth="1"/>
    <col min="7383" max="7383" width="22.44140625" style="1" customWidth="1"/>
    <col min="7384" max="7384" width="9.109375" style="1"/>
    <col min="7385" max="7385" width="13.88671875" style="1" bestFit="1" customWidth="1"/>
    <col min="7386" max="7634" width="9.109375" style="1"/>
    <col min="7635" max="7635" width="1.44140625" style="1" customWidth="1"/>
    <col min="7636" max="7636" width="2.109375" style="1" customWidth="1"/>
    <col min="7637" max="7637" width="16.88671875" style="1" customWidth="1"/>
    <col min="7638" max="7638" width="43.44140625" style="1" customWidth="1"/>
    <col min="7639" max="7639" width="22.44140625" style="1" customWidth="1"/>
    <col min="7640" max="7640" width="9.109375" style="1"/>
    <col min="7641" max="7641" width="13.88671875" style="1" bestFit="1" customWidth="1"/>
    <col min="7642" max="7890" width="9.109375" style="1"/>
    <col min="7891" max="7891" width="1.44140625" style="1" customWidth="1"/>
    <col min="7892" max="7892" width="2.109375" style="1" customWidth="1"/>
    <col min="7893" max="7893" width="16.88671875" style="1" customWidth="1"/>
    <col min="7894" max="7894" width="43.44140625" style="1" customWidth="1"/>
    <col min="7895" max="7895" width="22.44140625" style="1" customWidth="1"/>
    <col min="7896" max="7896" width="9.109375" style="1"/>
    <col min="7897" max="7897" width="13.88671875" style="1" bestFit="1" customWidth="1"/>
    <col min="7898" max="8146" width="9.109375" style="1"/>
    <col min="8147" max="8147" width="1.44140625" style="1" customWidth="1"/>
    <col min="8148" max="8148" width="2.109375" style="1" customWidth="1"/>
    <col min="8149" max="8149" width="16.88671875" style="1" customWidth="1"/>
    <col min="8150" max="8150" width="43.44140625" style="1" customWidth="1"/>
    <col min="8151" max="8151" width="22.44140625" style="1" customWidth="1"/>
    <col min="8152" max="8152" width="9.109375" style="1"/>
    <col min="8153" max="8153" width="13.88671875" style="1" bestFit="1" customWidth="1"/>
    <col min="8154" max="8402" width="9.109375" style="1"/>
    <col min="8403" max="8403" width="1.44140625" style="1" customWidth="1"/>
    <col min="8404" max="8404" width="2.109375" style="1" customWidth="1"/>
    <col min="8405" max="8405" width="16.88671875" style="1" customWidth="1"/>
    <col min="8406" max="8406" width="43.44140625" style="1" customWidth="1"/>
    <col min="8407" max="8407" width="22.44140625" style="1" customWidth="1"/>
    <col min="8408" max="8408" width="9.109375" style="1"/>
    <col min="8409" max="8409" width="13.88671875" style="1" bestFit="1" customWidth="1"/>
    <col min="8410" max="8658" width="9.109375" style="1"/>
    <col min="8659" max="8659" width="1.44140625" style="1" customWidth="1"/>
    <col min="8660" max="8660" width="2.109375" style="1" customWidth="1"/>
    <col min="8661" max="8661" width="16.88671875" style="1" customWidth="1"/>
    <col min="8662" max="8662" width="43.44140625" style="1" customWidth="1"/>
    <col min="8663" max="8663" width="22.44140625" style="1" customWidth="1"/>
    <col min="8664" max="8664" width="9.109375" style="1"/>
    <col min="8665" max="8665" width="13.88671875" style="1" bestFit="1" customWidth="1"/>
    <col min="8666" max="8914" width="9.109375" style="1"/>
    <col min="8915" max="8915" width="1.44140625" style="1" customWidth="1"/>
    <col min="8916" max="8916" width="2.109375" style="1" customWidth="1"/>
    <col min="8917" max="8917" width="16.88671875" style="1" customWidth="1"/>
    <col min="8918" max="8918" width="43.44140625" style="1" customWidth="1"/>
    <col min="8919" max="8919" width="22.44140625" style="1" customWidth="1"/>
    <col min="8920" max="8920" width="9.109375" style="1"/>
    <col min="8921" max="8921" width="13.88671875" style="1" bestFit="1" customWidth="1"/>
    <col min="8922" max="9170" width="9.109375" style="1"/>
    <col min="9171" max="9171" width="1.44140625" style="1" customWidth="1"/>
    <col min="9172" max="9172" width="2.109375" style="1" customWidth="1"/>
    <col min="9173" max="9173" width="16.88671875" style="1" customWidth="1"/>
    <col min="9174" max="9174" width="43.44140625" style="1" customWidth="1"/>
    <col min="9175" max="9175" width="22.44140625" style="1" customWidth="1"/>
    <col min="9176" max="9176" width="9.109375" style="1"/>
    <col min="9177" max="9177" width="13.88671875" style="1" bestFit="1" customWidth="1"/>
    <col min="9178" max="9426" width="9.109375" style="1"/>
    <col min="9427" max="9427" width="1.44140625" style="1" customWidth="1"/>
    <col min="9428" max="9428" width="2.109375" style="1" customWidth="1"/>
    <col min="9429" max="9429" width="16.88671875" style="1" customWidth="1"/>
    <col min="9430" max="9430" width="43.44140625" style="1" customWidth="1"/>
    <col min="9431" max="9431" width="22.44140625" style="1" customWidth="1"/>
    <col min="9432" max="9432" width="9.109375" style="1"/>
    <col min="9433" max="9433" width="13.88671875" style="1" bestFit="1" customWidth="1"/>
    <col min="9434" max="9682" width="9.109375" style="1"/>
    <col min="9683" max="9683" width="1.44140625" style="1" customWidth="1"/>
    <col min="9684" max="9684" width="2.109375" style="1" customWidth="1"/>
    <col min="9685" max="9685" width="16.88671875" style="1" customWidth="1"/>
    <col min="9686" max="9686" width="43.44140625" style="1" customWidth="1"/>
    <col min="9687" max="9687" width="22.44140625" style="1" customWidth="1"/>
    <col min="9688" max="9688" width="9.109375" style="1"/>
    <col min="9689" max="9689" width="13.88671875" style="1" bestFit="1" customWidth="1"/>
    <col min="9690" max="9938" width="9.109375" style="1"/>
    <col min="9939" max="9939" width="1.44140625" style="1" customWidth="1"/>
    <col min="9940" max="9940" width="2.109375" style="1" customWidth="1"/>
    <col min="9941" max="9941" width="16.88671875" style="1" customWidth="1"/>
    <col min="9942" max="9942" width="43.44140625" style="1" customWidth="1"/>
    <col min="9943" max="9943" width="22.44140625" style="1" customWidth="1"/>
    <col min="9944" max="9944" width="9.109375" style="1"/>
    <col min="9945" max="9945" width="13.88671875" style="1" bestFit="1" customWidth="1"/>
    <col min="9946" max="10194" width="9.109375" style="1"/>
    <col min="10195" max="10195" width="1.44140625" style="1" customWidth="1"/>
    <col min="10196" max="10196" width="2.109375" style="1" customWidth="1"/>
    <col min="10197" max="10197" width="16.88671875" style="1" customWidth="1"/>
    <col min="10198" max="10198" width="43.44140625" style="1" customWidth="1"/>
    <col min="10199" max="10199" width="22.44140625" style="1" customWidth="1"/>
    <col min="10200" max="10200" width="9.109375" style="1"/>
    <col min="10201" max="10201" width="13.88671875" style="1" bestFit="1" customWidth="1"/>
    <col min="10202" max="10450" width="9.109375" style="1"/>
    <col min="10451" max="10451" width="1.44140625" style="1" customWidth="1"/>
    <col min="10452" max="10452" width="2.109375" style="1" customWidth="1"/>
    <col min="10453" max="10453" width="16.88671875" style="1" customWidth="1"/>
    <col min="10454" max="10454" width="43.44140625" style="1" customWidth="1"/>
    <col min="10455" max="10455" width="22.44140625" style="1" customWidth="1"/>
    <col min="10456" max="10456" width="9.109375" style="1"/>
    <col min="10457" max="10457" width="13.88671875" style="1" bestFit="1" customWidth="1"/>
    <col min="10458" max="10706" width="9.109375" style="1"/>
    <col min="10707" max="10707" width="1.44140625" style="1" customWidth="1"/>
    <col min="10708" max="10708" width="2.109375" style="1" customWidth="1"/>
    <col min="10709" max="10709" width="16.88671875" style="1" customWidth="1"/>
    <col min="10710" max="10710" width="43.44140625" style="1" customWidth="1"/>
    <col min="10711" max="10711" width="22.44140625" style="1" customWidth="1"/>
    <col min="10712" max="10712" width="9.109375" style="1"/>
    <col min="10713" max="10713" width="13.88671875" style="1" bestFit="1" customWidth="1"/>
    <col min="10714" max="10962" width="9.109375" style="1"/>
    <col min="10963" max="10963" width="1.44140625" style="1" customWidth="1"/>
    <col min="10964" max="10964" width="2.109375" style="1" customWidth="1"/>
    <col min="10965" max="10965" width="16.88671875" style="1" customWidth="1"/>
    <col min="10966" max="10966" width="43.44140625" style="1" customWidth="1"/>
    <col min="10967" max="10967" width="22.44140625" style="1" customWidth="1"/>
    <col min="10968" max="10968" width="9.109375" style="1"/>
    <col min="10969" max="10969" width="13.88671875" style="1" bestFit="1" customWidth="1"/>
    <col min="10970" max="11218" width="9.109375" style="1"/>
    <col min="11219" max="11219" width="1.44140625" style="1" customWidth="1"/>
    <col min="11220" max="11220" width="2.109375" style="1" customWidth="1"/>
    <col min="11221" max="11221" width="16.88671875" style="1" customWidth="1"/>
    <col min="11222" max="11222" width="43.44140625" style="1" customWidth="1"/>
    <col min="11223" max="11223" width="22.44140625" style="1" customWidth="1"/>
    <col min="11224" max="11224" width="9.109375" style="1"/>
    <col min="11225" max="11225" width="13.88671875" style="1" bestFit="1" customWidth="1"/>
    <col min="11226" max="11474" width="9.109375" style="1"/>
    <col min="11475" max="11475" width="1.44140625" style="1" customWidth="1"/>
    <col min="11476" max="11476" width="2.109375" style="1" customWidth="1"/>
    <col min="11477" max="11477" width="16.88671875" style="1" customWidth="1"/>
    <col min="11478" max="11478" width="43.44140625" style="1" customWidth="1"/>
    <col min="11479" max="11479" width="22.44140625" style="1" customWidth="1"/>
    <col min="11480" max="11480" width="9.109375" style="1"/>
    <col min="11481" max="11481" width="13.88671875" style="1" bestFit="1" customWidth="1"/>
    <col min="11482" max="11730" width="9.109375" style="1"/>
    <col min="11731" max="11731" width="1.44140625" style="1" customWidth="1"/>
    <col min="11732" max="11732" width="2.109375" style="1" customWidth="1"/>
    <col min="11733" max="11733" width="16.88671875" style="1" customWidth="1"/>
    <col min="11734" max="11734" width="43.44140625" style="1" customWidth="1"/>
    <col min="11735" max="11735" width="22.44140625" style="1" customWidth="1"/>
    <col min="11736" max="11736" width="9.109375" style="1"/>
    <col min="11737" max="11737" width="13.88671875" style="1" bestFit="1" customWidth="1"/>
    <col min="11738" max="11986" width="9.109375" style="1"/>
    <col min="11987" max="11987" width="1.44140625" style="1" customWidth="1"/>
    <col min="11988" max="11988" width="2.109375" style="1" customWidth="1"/>
    <col min="11989" max="11989" width="16.88671875" style="1" customWidth="1"/>
    <col min="11990" max="11990" width="43.44140625" style="1" customWidth="1"/>
    <col min="11991" max="11991" width="22.44140625" style="1" customWidth="1"/>
    <col min="11992" max="11992" width="9.109375" style="1"/>
    <col min="11993" max="11993" width="13.88671875" style="1" bestFit="1" customWidth="1"/>
    <col min="11994" max="12242" width="9.109375" style="1"/>
    <col min="12243" max="12243" width="1.44140625" style="1" customWidth="1"/>
    <col min="12244" max="12244" width="2.109375" style="1" customWidth="1"/>
    <col min="12245" max="12245" width="16.88671875" style="1" customWidth="1"/>
    <col min="12246" max="12246" width="43.44140625" style="1" customWidth="1"/>
    <col min="12247" max="12247" width="22.44140625" style="1" customWidth="1"/>
    <col min="12248" max="12248" width="9.109375" style="1"/>
    <col min="12249" max="12249" width="13.88671875" style="1" bestFit="1" customWidth="1"/>
    <col min="12250" max="12498" width="9.109375" style="1"/>
    <col min="12499" max="12499" width="1.44140625" style="1" customWidth="1"/>
    <col min="12500" max="12500" width="2.109375" style="1" customWidth="1"/>
    <col min="12501" max="12501" width="16.88671875" style="1" customWidth="1"/>
    <col min="12502" max="12502" width="43.44140625" style="1" customWidth="1"/>
    <col min="12503" max="12503" width="22.44140625" style="1" customWidth="1"/>
    <col min="12504" max="12504" width="9.109375" style="1"/>
    <col min="12505" max="12505" width="13.88671875" style="1" bestFit="1" customWidth="1"/>
    <col min="12506" max="12754" width="9.109375" style="1"/>
    <col min="12755" max="12755" width="1.44140625" style="1" customWidth="1"/>
    <col min="12756" max="12756" width="2.109375" style="1" customWidth="1"/>
    <col min="12757" max="12757" width="16.88671875" style="1" customWidth="1"/>
    <col min="12758" max="12758" width="43.44140625" style="1" customWidth="1"/>
    <col min="12759" max="12759" width="22.44140625" style="1" customWidth="1"/>
    <col min="12760" max="12760" width="9.109375" style="1"/>
    <col min="12761" max="12761" width="13.88671875" style="1" bestFit="1" customWidth="1"/>
    <col min="12762" max="13010" width="9.109375" style="1"/>
    <col min="13011" max="13011" width="1.44140625" style="1" customWidth="1"/>
    <col min="13012" max="13012" width="2.109375" style="1" customWidth="1"/>
    <col min="13013" max="13013" width="16.88671875" style="1" customWidth="1"/>
    <col min="13014" max="13014" width="43.44140625" style="1" customWidth="1"/>
    <col min="13015" max="13015" width="22.44140625" style="1" customWidth="1"/>
    <col min="13016" max="13016" width="9.109375" style="1"/>
    <col min="13017" max="13017" width="13.88671875" style="1" bestFit="1" customWidth="1"/>
    <col min="13018" max="13266" width="9.109375" style="1"/>
    <col min="13267" max="13267" width="1.44140625" style="1" customWidth="1"/>
    <col min="13268" max="13268" width="2.109375" style="1" customWidth="1"/>
    <col min="13269" max="13269" width="16.88671875" style="1" customWidth="1"/>
    <col min="13270" max="13270" width="43.44140625" style="1" customWidth="1"/>
    <col min="13271" max="13271" width="22.44140625" style="1" customWidth="1"/>
    <col min="13272" max="13272" width="9.109375" style="1"/>
    <col min="13273" max="13273" width="13.88671875" style="1" bestFit="1" customWidth="1"/>
    <col min="13274" max="13522" width="9.109375" style="1"/>
    <col min="13523" max="13523" width="1.44140625" style="1" customWidth="1"/>
    <col min="13524" max="13524" width="2.109375" style="1" customWidth="1"/>
    <col min="13525" max="13525" width="16.88671875" style="1" customWidth="1"/>
    <col min="13526" max="13526" width="43.44140625" style="1" customWidth="1"/>
    <col min="13527" max="13527" width="22.44140625" style="1" customWidth="1"/>
    <col min="13528" max="13528" width="9.109375" style="1"/>
    <col min="13529" max="13529" width="13.88671875" style="1" bestFit="1" customWidth="1"/>
    <col min="13530" max="13778" width="9.109375" style="1"/>
    <col min="13779" max="13779" width="1.44140625" style="1" customWidth="1"/>
    <col min="13780" max="13780" width="2.109375" style="1" customWidth="1"/>
    <col min="13781" max="13781" width="16.88671875" style="1" customWidth="1"/>
    <col min="13782" max="13782" width="43.44140625" style="1" customWidth="1"/>
    <col min="13783" max="13783" width="22.44140625" style="1" customWidth="1"/>
    <col min="13784" max="13784" width="9.109375" style="1"/>
    <col min="13785" max="13785" width="13.88671875" style="1" bestFit="1" customWidth="1"/>
    <col min="13786" max="14034" width="9.109375" style="1"/>
    <col min="14035" max="14035" width="1.44140625" style="1" customWidth="1"/>
    <col min="14036" max="14036" width="2.109375" style="1" customWidth="1"/>
    <col min="14037" max="14037" width="16.88671875" style="1" customWidth="1"/>
    <col min="14038" max="14038" width="43.44140625" style="1" customWidth="1"/>
    <col min="14039" max="14039" width="22.44140625" style="1" customWidth="1"/>
    <col min="14040" max="14040" width="9.109375" style="1"/>
    <col min="14041" max="14041" width="13.88671875" style="1" bestFit="1" customWidth="1"/>
    <col min="14042" max="14290" width="9.109375" style="1"/>
    <col min="14291" max="14291" width="1.44140625" style="1" customWidth="1"/>
    <col min="14292" max="14292" width="2.109375" style="1" customWidth="1"/>
    <col min="14293" max="14293" width="16.88671875" style="1" customWidth="1"/>
    <col min="14294" max="14294" width="43.44140625" style="1" customWidth="1"/>
    <col min="14295" max="14295" width="22.44140625" style="1" customWidth="1"/>
    <col min="14296" max="14296" width="9.109375" style="1"/>
    <col min="14297" max="14297" width="13.88671875" style="1" bestFit="1" customWidth="1"/>
    <col min="14298" max="14546" width="9.109375" style="1"/>
    <col min="14547" max="14547" width="1.44140625" style="1" customWidth="1"/>
    <col min="14548" max="14548" width="2.109375" style="1" customWidth="1"/>
    <col min="14549" max="14549" width="16.88671875" style="1" customWidth="1"/>
    <col min="14550" max="14550" width="43.44140625" style="1" customWidth="1"/>
    <col min="14551" max="14551" width="22.44140625" style="1" customWidth="1"/>
    <col min="14552" max="14552" width="9.109375" style="1"/>
    <col min="14553" max="14553" width="13.88671875" style="1" bestFit="1" customWidth="1"/>
    <col min="14554" max="14802" width="9.109375" style="1"/>
    <col min="14803" max="14803" width="1.44140625" style="1" customWidth="1"/>
    <col min="14804" max="14804" width="2.109375" style="1" customWidth="1"/>
    <col min="14805" max="14805" width="16.88671875" style="1" customWidth="1"/>
    <col min="14806" max="14806" width="43.44140625" style="1" customWidth="1"/>
    <col min="14807" max="14807" width="22.44140625" style="1" customWidth="1"/>
    <col min="14808" max="14808" width="9.109375" style="1"/>
    <col min="14809" max="14809" width="13.88671875" style="1" bestFit="1" customWidth="1"/>
    <col min="14810" max="15058" width="9.109375" style="1"/>
    <col min="15059" max="15059" width="1.44140625" style="1" customWidth="1"/>
    <col min="15060" max="15060" width="2.109375" style="1" customWidth="1"/>
    <col min="15061" max="15061" width="16.88671875" style="1" customWidth="1"/>
    <col min="15062" max="15062" width="43.44140625" style="1" customWidth="1"/>
    <col min="15063" max="15063" width="22.44140625" style="1" customWidth="1"/>
    <col min="15064" max="15064" width="9.109375" style="1"/>
    <col min="15065" max="15065" width="13.88671875" style="1" bestFit="1" customWidth="1"/>
    <col min="15066" max="15314" width="9.109375" style="1"/>
    <col min="15315" max="15315" width="1.44140625" style="1" customWidth="1"/>
    <col min="15316" max="15316" width="2.109375" style="1" customWidth="1"/>
    <col min="15317" max="15317" width="16.88671875" style="1" customWidth="1"/>
    <col min="15318" max="15318" width="43.44140625" style="1" customWidth="1"/>
    <col min="15319" max="15319" width="22.44140625" style="1" customWidth="1"/>
    <col min="15320" max="15320" width="9.109375" style="1"/>
    <col min="15321" max="15321" width="13.88671875" style="1" bestFit="1" customWidth="1"/>
    <col min="15322" max="15570" width="9.109375" style="1"/>
    <col min="15571" max="15571" width="1.44140625" style="1" customWidth="1"/>
    <col min="15572" max="15572" width="2.109375" style="1" customWidth="1"/>
    <col min="15573" max="15573" width="16.88671875" style="1" customWidth="1"/>
    <col min="15574" max="15574" width="43.44140625" style="1" customWidth="1"/>
    <col min="15575" max="15575" width="22.44140625" style="1" customWidth="1"/>
    <col min="15576" max="15576" width="9.109375" style="1"/>
    <col min="15577" max="15577" width="13.88671875" style="1" bestFit="1" customWidth="1"/>
    <col min="15578" max="15826" width="9.109375" style="1"/>
    <col min="15827" max="15827" width="1.44140625" style="1" customWidth="1"/>
    <col min="15828" max="15828" width="2.109375" style="1" customWidth="1"/>
    <col min="15829" max="15829" width="16.88671875" style="1" customWidth="1"/>
    <col min="15830" max="15830" width="43.44140625" style="1" customWidth="1"/>
    <col min="15831" max="15831" width="22.44140625" style="1" customWidth="1"/>
    <col min="15832" max="15832" width="9.109375" style="1"/>
    <col min="15833" max="15833" width="13.88671875" style="1" bestFit="1" customWidth="1"/>
    <col min="15834" max="16082" width="9.109375" style="1"/>
    <col min="16083" max="16083" width="1.44140625" style="1" customWidth="1"/>
    <col min="16084" max="16084" width="2.109375" style="1" customWidth="1"/>
    <col min="16085" max="16085" width="16.88671875" style="1" customWidth="1"/>
    <col min="16086" max="16086" width="43.44140625" style="1" customWidth="1"/>
    <col min="16087" max="16087" width="22.44140625" style="1" customWidth="1"/>
    <col min="16088" max="16088" width="9.109375" style="1"/>
    <col min="16089" max="16089" width="13.88671875" style="1" bestFit="1" customWidth="1"/>
    <col min="16090" max="16384" width="9.109375" style="1"/>
  </cols>
  <sheetData>
    <row r="2" spans="1:3" x14ac:dyDescent="0.2">
      <c r="C2" s="212" t="s">
        <v>0</v>
      </c>
    </row>
    <row r="3" spans="1:3" x14ac:dyDescent="0.2">
      <c r="A3" s="212"/>
      <c r="B3" s="2"/>
      <c r="C3" s="2"/>
    </row>
    <row r="4" spans="1:3" x14ac:dyDescent="0.2">
      <c r="B4" s="217" t="s">
        <v>1</v>
      </c>
      <c r="C4" s="217"/>
    </row>
    <row r="5" spans="1:3" x14ac:dyDescent="0.2">
      <c r="A5" s="212"/>
      <c r="B5" s="212"/>
      <c r="C5" s="212"/>
    </row>
    <row r="6" spans="1:3" x14ac:dyDescent="0.2">
      <c r="C6" s="210" t="s">
        <v>2</v>
      </c>
    </row>
    <row r="8" spans="1:3" x14ac:dyDescent="0.2">
      <c r="B8" s="218" t="s">
        <v>3</v>
      </c>
      <c r="C8" s="218"/>
    </row>
    <row r="11" spans="1:3" x14ac:dyDescent="0.2">
      <c r="B11" s="212" t="s">
        <v>4</v>
      </c>
    </row>
    <row r="12" spans="1:3" x14ac:dyDescent="0.2">
      <c r="B12" s="209" t="s">
        <v>5</v>
      </c>
    </row>
    <row r="13" spans="1:3" x14ac:dyDescent="0.2">
      <c r="A13" s="210" t="s">
        <v>6</v>
      </c>
      <c r="B13" s="62" t="s">
        <v>7</v>
      </c>
      <c r="C13" s="62"/>
    </row>
    <row r="14" spans="1:3" ht="20.399999999999999" x14ac:dyDescent="0.2">
      <c r="A14" s="210" t="s">
        <v>8</v>
      </c>
      <c r="B14" s="62" t="s">
        <v>9</v>
      </c>
      <c r="C14" s="62"/>
    </row>
    <row r="15" spans="1:3" ht="20.399999999999999" x14ac:dyDescent="0.2">
      <c r="A15" s="23" t="s">
        <v>10</v>
      </c>
      <c r="B15" s="85" t="s">
        <v>11</v>
      </c>
      <c r="C15" s="61"/>
    </row>
    <row r="16" spans="1:3" x14ac:dyDescent="0.2">
      <c r="A16" s="210" t="s">
        <v>12</v>
      </c>
      <c r="B16" s="78"/>
      <c r="C16" s="60"/>
    </row>
    <row r="17" spans="1:5" ht="10.8" thickBot="1" x14ac:dyDescent="0.25"/>
    <row r="18" spans="1:5" x14ac:dyDescent="0.2">
      <c r="A18" s="3" t="s">
        <v>13</v>
      </c>
      <c r="B18" s="4" t="s">
        <v>14</v>
      </c>
      <c r="C18" s="5" t="s">
        <v>15</v>
      </c>
    </row>
    <row r="19" spans="1:5" ht="20.399999999999999" x14ac:dyDescent="0.2">
      <c r="A19" s="64">
        <v>1</v>
      </c>
      <c r="B19" s="77" t="s">
        <v>16</v>
      </c>
      <c r="C19" s="7">
        <f>'Kops a'!E32</f>
        <v>0</v>
      </c>
    </row>
    <row r="20" spans="1:5" x14ac:dyDescent="0.2">
      <c r="A20" s="65"/>
      <c r="B20" s="66"/>
      <c r="C20" s="8"/>
    </row>
    <row r="21" spans="1:5" x14ac:dyDescent="0.2">
      <c r="A21" s="67"/>
      <c r="B21" s="6"/>
      <c r="C21" s="8"/>
    </row>
    <row r="22" spans="1:5" x14ac:dyDescent="0.2">
      <c r="A22" s="67"/>
      <c r="B22" s="6"/>
      <c r="C22" s="8"/>
    </row>
    <row r="23" spans="1:5" x14ac:dyDescent="0.2">
      <c r="A23" s="67"/>
      <c r="B23" s="6"/>
      <c r="C23" s="8"/>
    </row>
    <row r="24" spans="1:5" x14ac:dyDescent="0.2">
      <c r="A24" s="67"/>
      <c r="B24" s="6"/>
      <c r="C24" s="8"/>
    </row>
    <row r="25" spans="1:5" ht="10.8" thickBot="1" x14ac:dyDescent="0.25">
      <c r="A25" s="68"/>
      <c r="B25" s="41"/>
      <c r="C25" s="42"/>
    </row>
    <row r="26" spans="1:5" ht="10.8" thickBot="1" x14ac:dyDescent="0.25">
      <c r="A26" s="9"/>
      <c r="B26" s="10" t="s">
        <v>17</v>
      </c>
      <c r="C26" s="11">
        <f>SUM(C19:C25)</f>
        <v>0</v>
      </c>
    </row>
    <row r="27" spans="1:5" ht="10.8" thickBot="1" x14ac:dyDescent="0.25">
      <c r="B27" s="211"/>
      <c r="C27" s="12"/>
    </row>
    <row r="28" spans="1:5" ht="10.8" thickBot="1" x14ac:dyDescent="0.25">
      <c r="A28" s="219"/>
      <c r="B28" s="220"/>
      <c r="C28" s="13">
        <f>ROUND(C26*21%,2)</f>
        <v>0</v>
      </c>
      <c r="E28" s="205"/>
    </row>
    <row r="31" spans="1:5" x14ac:dyDescent="0.2">
      <c r="A31" s="1" t="s">
        <v>18</v>
      </c>
      <c r="B31" s="221"/>
      <c r="C31" s="221"/>
    </row>
    <row r="32" spans="1:5" x14ac:dyDescent="0.2">
      <c r="B32" s="216" t="s">
        <v>19</v>
      </c>
      <c r="C32" s="216"/>
    </row>
    <row r="34" spans="1:3" x14ac:dyDescent="0.2">
      <c r="A34" s="1" t="s">
        <v>20</v>
      </c>
      <c r="B34" s="14"/>
      <c r="C34" s="14"/>
    </row>
    <row r="35" spans="1:3" x14ac:dyDescent="0.2">
      <c r="A35" s="14"/>
      <c r="B35" s="14"/>
      <c r="C35" s="14"/>
    </row>
    <row r="36" spans="1:3" x14ac:dyDescent="0.2">
      <c r="A36" s="1" t="s">
        <v>21</v>
      </c>
    </row>
  </sheetData>
  <mergeCells count="5">
    <mergeCell ref="B32:C32"/>
    <mergeCell ref="B4:C4"/>
    <mergeCell ref="B8:C8"/>
    <mergeCell ref="A28:B28"/>
    <mergeCell ref="B31:C31"/>
  </mergeCells>
  <conditionalFormatting sqref="C19 C26 C28">
    <cfRule type="cellIs" dxfId="406" priority="9" operator="equal">
      <formula>0</formula>
    </cfRule>
  </conditionalFormatting>
  <conditionalFormatting sqref="B13:B16">
    <cfRule type="cellIs" dxfId="405" priority="8" operator="equal">
      <formula>0</formula>
    </cfRule>
  </conditionalFormatting>
  <conditionalFormatting sqref="B19">
    <cfRule type="cellIs" dxfId="404" priority="7" operator="equal">
      <formula>0</formula>
    </cfRule>
  </conditionalFormatting>
  <conditionalFormatting sqref="B34">
    <cfRule type="cellIs" dxfId="403" priority="5" operator="equal">
      <formula>0</formula>
    </cfRule>
  </conditionalFormatting>
  <conditionalFormatting sqref="B31:C31">
    <cfRule type="cellIs" dxfId="402" priority="3" operator="equal">
      <formula>0</formula>
    </cfRule>
  </conditionalFormatting>
  <conditionalFormatting sqref="A19">
    <cfRule type="cellIs" dxfId="401" priority="2" operator="equal">
      <formula>0</formula>
    </cfRule>
  </conditionalFormatting>
  <conditionalFormatting sqref="A36">
    <cfRule type="containsText" dxfId="400" priority="1" operator="containsText" text="Tāme sastādīta 20__. gada __. _________">
      <formula>NOT(ISERROR(SEARCH("Tāme sastādīta 20__. gada __. _________",A36)))</formula>
    </cfRule>
  </conditionalFormatting>
  <pageMargins left="0.7" right="0.7" top="1.3149999999999999" bottom="0.75" header="0.3" footer="0.3"/>
  <pageSetup paperSize="9"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P70"/>
  <sheetViews>
    <sheetView zoomScaleNormal="100" zoomScaleSheetLayoutView="100" workbookViewId="0">
      <selection activeCell="D5" sqref="D5:L5"/>
    </sheetView>
  </sheetViews>
  <sheetFormatPr defaultColWidth="9.109375" defaultRowHeight="10.199999999999999" x14ac:dyDescent="0.2"/>
  <cols>
    <col min="1" max="1" width="4.5546875" style="1" customWidth="1"/>
    <col min="2" max="2" width="9.44140625" style="94" bestFit="1" customWidth="1"/>
    <col min="3" max="3" width="38.44140625" style="94" customWidth="1"/>
    <col min="4" max="4" width="5.88671875" style="1" customWidth="1"/>
    <col min="5" max="5" width="8.6640625" style="1" customWidth="1"/>
    <col min="6" max="6" width="4.44140625" style="1" bestFit="1" customWidth="1"/>
    <col min="7" max="9" width="5.44140625" style="1" bestFit="1" customWidth="1"/>
    <col min="10" max="10" width="4.44140625" style="1" bestFit="1" customWidth="1"/>
    <col min="11" max="11" width="5.44140625" style="1" bestFit="1" customWidth="1"/>
    <col min="12" max="12" width="6.33203125" style="1" bestFit="1" customWidth="1"/>
    <col min="13" max="14" width="7.6640625" style="1" customWidth="1"/>
    <col min="15" max="15" width="6.33203125" style="1" bestFit="1" customWidth="1"/>
    <col min="16" max="16" width="9" style="1" customWidth="1"/>
    <col min="17" max="16384" width="9.109375" style="1"/>
  </cols>
  <sheetData>
    <row r="1" spans="1:16" x14ac:dyDescent="0.2">
      <c r="A1" s="19"/>
      <c r="B1" s="113"/>
      <c r="C1" s="114" t="s">
        <v>39</v>
      </c>
      <c r="D1" s="40">
        <f>'Kops a'!A22</f>
        <v>0</v>
      </c>
      <c r="E1" s="19"/>
      <c r="F1" s="19"/>
      <c r="G1" s="19"/>
      <c r="H1" s="19"/>
      <c r="I1" s="19"/>
      <c r="J1" s="19"/>
      <c r="N1" s="22"/>
      <c r="O1" s="23"/>
      <c r="P1" s="24"/>
    </row>
    <row r="2" spans="1:16" x14ac:dyDescent="0.2">
      <c r="A2" s="25"/>
      <c r="B2" s="115"/>
      <c r="C2" s="264" t="s">
        <v>369</v>
      </c>
      <c r="D2" s="264"/>
      <c r="E2" s="264"/>
      <c r="F2" s="264"/>
      <c r="G2" s="264"/>
      <c r="H2" s="264"/>
      <c r="I2" s="264"/>
      <c r="J2" s="25"/>
    </row>
    <row r="3" spans="1:16" x14ac:dyDescent="0.2">
      <c r="A3" s="26"/>
      <c r="B3" s="116"/>
      <c r="C3" s="225" t="s">
        <v>23</v>
      </c>
      <c r="D3" s="225"/>
      <c r="E3" s="225"/>
      <c r="F3" s="225"/>
      <c r="G3" s="225"/>
      <c r="H3" s="225"/>
      <c r="I3" s="225"/>
      <c r="J3" s="26"/>
    </row>
    <row r="4" spans="1:16" x14ac:dyDescent="0.2">
      <c r="A4" s="26"/>
      <c r="B4" s="116"/>
      <c r="C4" s="265" t="s">
        <v>5</v>
      </c>
      <c r="D4" s="265"/>
      <c r="E4" s="265"/>
      <c r="F4" s="265"/>
      <c r="G4" s="265"/>
      <c r="H4" s="265"/>
      <c r="I4" s="265"/>
      <c r="J4" s="26"/>
    </row>
    <row r="5" spans="1:16" x14ac:dyDescent="0.2">
      <c r="A5" s="19"/>
      <c r="B5" s="113"/>
      <c r="C5" s="114" t="s">
        <v>6</v>
      </c>
      <c r="D5" s="278" t="str">
        <f>'Kops a'!D6</f>
        <v>DAUDZDZĪVOKĻU DZĪVOJAMĀ ĒKA</v>
      </c>
      <c r="E5" s="278"/>
      <c r="F5" s="278"/>
      <c r="G5" s="278"/>
      <c r="H5" s="278"/>
      <c r="I5" s="278"/>
      <c r="J5" s="278"/>
      <c r="K5" s="278"/>
      <c r="L5" s="278"/>
      <c r="M5" s="14"/>
      <c r="N5" s="14"/>
      <c r="O5" s="14"/>
      <c r="P5" s="14"/>
    </row>
    <row r="6" spans="1:16" x14ac:dyDescent="0.2">
      <c r="A6" s="19"/>
      <c r="B6" s="113"/>
      <c r="C6" s="114" t="s">
        <v>8</v>
      </c>
      <c r="D6" s="278" t="str">
        <f>'Kops a'!D7</f>
        <v>ENERGOEFEKTIVITĀTES PAAUGSTINĀŠANA DAUDZDZĪVOKĻU DZĪVOJAMAI ĒKAI</v>
      </c>
      <c r="E6" s="278"/>
      <c r="F6" s="278"/>
      <c r="G6" s="278"/>
      <c r="H6" s="278"/>
      <c r="I6" s="278"/>
      <c r="J6" s="278"/>
      <c r="K6" s="278"/>
      <c r="L6" s="278"/>
      <c r="M6" s="14"/>
      <c r="N6" s="14"/>
      <c r="O6" s="14"/>
      <c r="P6" s="14"/>
    </row>
    <row r="7" spans="1:16" x14ac:dyDescent="0.2">
      <c r="A7" s="19"/>
      <c r="B7" s="113"/>
      <c r="C7" s="114" t="s">
        <v>10</v>
      </c>
      <c r="D7" s="278" t="str">
        <f>'Kops a'!D8</f>
        <v>Mātera iela 23/25, Jelgava, ēkas kad. apz. 0900 001 0126 001</v>
      </c>
      <c r="E7" s="278"/>
      <c r="F7" s="278"/>
      <c r="G7" s="278"/>
      <c r="H7" s="278"/>
      <c r="I7" s="278"/>
      <c r="J7" s="278"/>
      <c r="K7" s="278"/>
      <c r="L7" s="278"/>
      <c r="M7" s="14"/>
      <c r="N7" s="14"/>
      <c r="O7" s="14"/>
      <c r="P7" s="14"/>
    </row>
    <row r="8" spans="1:16" x14ac:dyDescent="0.2">
      <c r="A8" s="19"/>
      <c r="B8" s="113"/>
      <c r="C8" s="117" t="s">
        <v>26</v>
      </c>
      <c r="D8" s="278">
        <f>'Kops a'!D9</f>
        <v>0</v>
      </c>
      <c r="E8" s="278"/>
      <c r="F8" s="278"/>
      <c r="G8" s="278"/>
      <c r="H8" s="278"/>
      <c r="I8" s="278"/>
      <c r="J8" s="278"/>
      <c r="K8" s="278"/>
      <c r="L8" s="278"/>
      <c r="M8" s="14"/>
      <c r="N8" s="14"/>
      <c r="O8" s="14"/>
      <c r="P8" s="14"/>
    </row>
    <row r="9" spans="1:16" ht="11.25" customHeight="1" x14ac:dyDescent="0.2">
      <c r="A9" s="266" t="s">
        <v>86</v>
      </c>
      <c r="B9" s="266"/>
      <c r="C9" s="266"/>
      <c r="D9" s="266"/>
      <c r="E9" s="266"/>
      <c r="F9" s="266"/>
      <c r="G9" s="27"/>
      <c r="H9" s="27"/>
      <c r="I9" s="27"/>
      <c r="J9" s="270" t="s">
        <v>42</v>
      </c>
      <c r="K9" s="270"/>
      <c r="L9" s="270"/>
      <c r="M9" s="270"/>
      <c r="N9" s="277">
        <f>P58</f>
        <v>0</v>
      </c>
      <c r="O9" s="277"/>
      <c r="P9" s="27"/>
    </row>
    <row r="10" spans="1:16" x14ac:dyDescent="0.2">
      <c r="A10" s="28"/>
      <c r="B10" s="118"/>
      <c r="C10" s="117"/>
      <c r="D10" s="19"/>
      <c r="E10" s="19"/>
      <c r="F10" s="19"/>
      <c r="G10" s="19"/>
      <c r="H10" s="19"/>
      <c r="I10" s="19"/>
      <c r="J10" s="19"/>
      <c r="K10" s="19"/>
      <c r="L10" s="25"/>
      <c r="M10" s="25"/>
      <c r="O10" s="73"/>
      <c r="P10" s="72" t="str">
        <f>A64</f>
        <v>Tāme sastādīta</v>
      </c>
    </row>
    <row r="11" spans="1:16" ht="10.8" thickBot="1" x14ac:dyDescent="0.25">
      <c r="A11" s="28"/>
      <c r="B11" s="118"/>
      <c r="C11" s="117"/>
      <c r="D11" s="19"/>
      <c r="E11" s="19"/>
      <c r="F11" s="19"/>
      <c r="G11" s="19"/>
      <c r="H11" s="19"/>
      <c r="I11" s="19"/>
      <c r="J11" s="19"/>
      <c r="K11" s="19"/>
      <c r="L11" s="30"/>
      <c r="M11" s="30"/>
      <c r="N11" s="31"/>
      <c r="O11" s="22"/>
      <c r="P11" s="19"/>
    </row>
    <row r="12" spans="1:16" x14ac:dyDescent="0.2">
      <c r="A12" s="236" t="s">
        <v>29</v>
      </c>
      <c r="B12" s="290" t="s">
        <v>43</v>
      </c>
      <c r="C12" s="292" t="s">
        <v>44</v>
      </c>
      <c r="D12" s="275" t="s">
        <v>45</v>
      </c>
      <c r="E12" s="279" t="s">
        <v>46</v>
      </c>
      <c r="F12" s="267" t="s">
        <v>47</v>
      </c>
      <c r="G12" s="268"/>
      <c r="H12" s="268"/>
      <c r="I12" s="268"/>
      <c r="J12" s="268"/>
      <c r="K12" s="269"/>
      <c r="L12" s="267" t="s">
        <v>48</v>
      </c>
      <c r="M12" s="268"/>
      <c r="N12" s="268"/>
      <c r="O12" s="268"/>
      <c r="P12" s="269"/>
    </row>
    <row r="13" spans="1:16" ht="126.75" customHeight="1" thickBot="1" x14ac:dyDescent="0.25">
      <c r="A13" s="271"/>
      <c r="B13" s="291"/>
      <c r="C13" s="293"/>
      <c r="D13" s="276"/>
      <c r="E13" s="280"/>
      <c r="F13" s="214" t="s">
        <v>49</v>
      </c>
      <c r="G13" s="215" t="s">
        <v>50</v>
      </c>
      <c r="H13" s="215" t="s">
        <v>51</v>
      </c>
      <c r="I13" s="215" t="s">
        <v>52</v>
      </c>
      <c r="J13" s="215" t="s">
        <v>53</v>
      </c>
      <c r="K13" s="51" t="s">
        <v>54</v>
      </c>
      <c r="L13" s="214" t="s">
        <v>49</v>
      </c>
      <c r="M13" s="215" t="s">
        <v>51</v>
      </c>
      <c r="N13" s="215" t="s">
        <v>52</v>
      </c>
      <c r="O13" s="215" t="s">
        <v>53</v>
      </c>
      <c r="P13" s="51" t="s">
        <v>54</v>
      </c>
    </row>
    <row r="14" spans="1:16" ht="39.6" x14ac:dyDescent="0.2">
      <c r="A14" s="165"/>
      <c r="B14" s="166"/>
      <c r="C14" s="167" t="s">
        <v>370</v>
      </c>
      <c r="D14" s="168"/>
      <c r="E14" s="169"/>
      <c r="F14" s="170"/>
      <c r="G14" s="171"/>
      <c r="H14" s="171"/>
      <c r="I14" s="171"/>
      <c r="J14" s="171"/>
      <c r="K14" s="187"/>
      <c r="L14" s="106"/>
      <c r="M14" s="89"/>
      <c r="N14" s="89"/>
      <c r="O14" s="89"/>
      <c r="P14" s="90"/>
    </row>
    <row r="15" spans="1:16" ht="26.4" x14ac:dyDescent="0.2">
      <c r="A15" s="160">
        <v>1</v>
      </c>
      <c r="B15" s="157" t="s">
        <v>56</v>
      </c>
      <c r="C15" s="163" t="s">
        <v>261</v>
      </c>
      <c r="D15" s="157" t="s">
        <v>262</v>
      </c>
      <c r="E15" s="162">
        <v>1</v>
      </c>
      <c r="F15" s="133"/>
      <c r="G15" s="134"/>
      <c r="H15" s="135">
        <f t="shared" ref="H15" si="0">ROUND(F15*G15,2)</f>
        <v>0</v>
      </c>
      <c r="I15" s="134"/>
      <c r="J15" s="134"/>
      <c r="K15" s="134">
        <f t="shared" ref="K15:K18" si="1">ROUND(H15+J15+I15,2)</f>
        <v>0</v>
      </c>
      <c r="L15" s="105">
        <f t="shared" ref="L15" si="2">ROUND(E15*F15,2)</f>
        <v>0</v>
      </c>
      <c r="M15" s="87">
        <f t="shared" ref="M15" si="3">ROUND(E15*H15,2)</f>
        <v>0</v>
      </c>
      <c r="N15" s="87">
        <f t="shared" ref="N15" si="4">ROUND(E15*I15,2)</f>
        <v>0</v>
      </c>
      <c r="O15" s="87">
        <f t="shared" ref="O15" si="5">ROUND(E15*J15,2)</f>
        <v>0</v>
      </c>
      <c r="P15" s="88">
        <f t="shared" ref="P15" si="6">ROUND(O15+N15+M15,2)</f>
        <v>0</v>
      </c>
    </row>
    <row r="16" spans="1:16" ht="13.2" x14ac:dyDescent="0.2">
      <c r="A16" s="160"/>
      <c r="B16" s="157"/>
      <c r="C16" s="188" t="s">
        <v>371</v>
      </c>
      <c r="D16" s="157"/>
      <c r="E16" s="162"/>
      <c r="F16" s="133"/>
      <c r="G16" s="134"/>
      <c r="H16" s="135"/>
      <c r="I16" s="134"/>
      <c r="J16" s="134"/>
      <c r="K16" s="134"/>
      <c r="L16" s="105">
        <f t="shared" ref="L16:L57" si="7">ROUND(E16*F16,2)</f>
        <v>0</v>
      </c>
      <c r="M16" s="87">
        <f t="shared" ref="M16:M57" si="8">ROUND(E16*H16,2)</f>
        <v>0</v>
      </c>
      <c r="N16" s="87">
        <f t="shared" ref="N16:N57" si="9">ROUND(E16*I16,2)</f>
        <v>0</v>
      </c>
      <c r="O16" s="87">
        <f t="shared" ref="O16:O57" si="10">ROUND(E16*J16,2)</f>
        <v>0</v>
      </c>
      <c r="P16" s="88">
        <f t="shared" ref="P16:P57" si="11">ROUND(O16+N16+M16,2)</f>
        <v>0</v>
      </c>
    </row>
    <row r="17" spans="1:16" ht="13.2" x14ac:dyDescent="0.2">
      <c r="A17" s="152">
        <v>1</v>
      </c>
      <c r="B17" s="174" t="s">
        <v>56</v>
      </c>
      <c r="C17" s="163" t="s">
        <v>372</v>
      </c>
      <c r="D17" s="157" t="s">
        <v>58</v>
      </c>
      <c r="E17" s="162">
        <v>13.6</v>
      </c>
      <c r="F17" s="133"/>
      <c r="G17" s="134"/>
      <c r="H17" s="135">
        <f t="shared" ref="H17:H32" si="12">ROUND(F17*G17,2)</f>
        <v>0</v>
      </c>
      <c r="I17" s="134"/>
      <c r="J17" s="134"/>
      <c r="K17" s="134">
        <f t="shared" si="1"/>
        <v>0</v>
      </c>
      <c r="L17" s="105">
        <f t="shared" si="7"/>
        <v>0</v>
      </c>
      <c r="M17" s="87">
        <f t="shared" si="8"/>
        <v>0</v>
      </c>
      <c r="N17" s="87">
        <f t="shared" si="9"/>
        <v>0</v>
      </c>
      <c r="O17" s="87">
        <f t="shared" si="10"/>
        <v>0</v>
      </c>
      <c r="P17" s="88">
        <f t="shared" si="11"/>
        <v>0</v>
      </c>
    </row>
    <row r="18" spans="1:16" ht="26.4" x14ac:dyDescent="0.2">
      <c r="A18" s="152">
        <v>2</v>
      </c>
      <c r="B18" s="174" t="s">
        <v>56</v>
      </c>
      <c r="C18" s="154" t="s">
        <v>373</v>
      </c>
      <c r="D18" s="155" t="s">
        <v>58</v>
      </c>
      <c r="E18" s="156">
        <v>4.8</v>
      </c>
      <c r="F18" s="133"/>
      <c r="G18" s="134"/>
      <c r="H18" s="135">
        <f t="shared" si="12"/>
        <v>0</v>
      </c>
      <c r="I18" s="134"/>
      <c r="J18" s="134"/>
      <c r="K18" s="134">
        <f t="shared" si="1"/>
        <v>0</v>
      </c>
      <c r="L18" s="105">
        <f t="shared" si="7"/>
        <v>0</v>
      </c>
      <c r="M18" s="87">
        <f t="shared" si="8"/>
        <v>0</v>
      </c>
      <c r="N18" s="87">
        <f t="shared" si="9"/>
        <v>0</v>
      </c>
      <c r="O18" s="87">
        <f t="shared" si="10"/>
        <v>0</v>
      </c>
      <c r="P18" s="88">
        <f t="shared" si="11"/>
        <v>0</v>
      </c>
    </row>
    <row r="19" spans="1:16" ht="13.2" x14ac:dyDescent="0.2">
      <c r="A19" s="160">
        <v>3</v>
      </c>
      <c r="B19" s="157" t="s">
        <v>56</v>
      </c>
      <c r="C19" s="163" t="s">
        <v>264</v>
      </c>
      <c r="D19" s="157" t="s">
        <v>58</v>
      </c>
      <c r="E19" s="162">
        <v>8.8000000000000007</v>
      </c>
      <c r="F19" s="133"/>
      <c r="G19" s="134"/>
      <c r="H19" s="135">
        <f t="shared" si="12"/>
        <v>0</v>
      </c>
      <c r="I19" s="134"/>
      <c r="J19" s="134"/>
      <c r="K19" s="134"/>
      <c r="L19" s="105">
        <f t="shared" si="7"/>
        <v>0</v>
      </c>
      <c r="M19" s="87">
        <f t="shared" si="8"/>
        <v>0</v>
      </c>
      <c r="N19" s="87">
        <f t="shared" si="9"/>
        <v>0</v>
      </c>
      <c r="O19" s="87">
        <f t="shared" si="10"/>
        <v>0</v>
      </c>
      <c r="P19" s="88">
        <f t="shared" si="11"/>
        <v>0</v>
      </c>
    </row>
    <row r="20" spans="1:16" ht="26.4" x14ac:dyDescent="0.2">
      <c r="A20" s="152">
        <v>4</v>
      </c>
      <c r="B20" s="157" t="s">
        <v>56</v>
      </c>
      <c r="C20" s="163" t="s">
        <v>265</v>
      </c>
      <c r="D20" s="157" t="s">
        <v>58</v>
      </c>
      <c r="E20" s="162">
        <v>4.8</v>
      </c>
      <c r="F20" s="133"/>
      <c r="G20" s="134"/>
      <c r="H20" s="135">
        <f t="shared" si="12"/>
        <v>0</v>
      </c>
      <c r="I20" s="134"/>
      <c r="J20" s="134"/>
      <c r="K20" s="134">
        <f t="shared" ref="K20:K31" si="13">ROUND(H20+J20+I20,2)</f>
        <v>0</v>
      </c>
      <c r="L20" s="105">
        <f t="shared" si="7"/>
        <v>0</v>
      </c>
      <c r="M20" s="87">
        <f t="shared" si="8"/>
        <v>0</v>
      </c>
      <c r="N20" s="87">
        <f t="shared" si="9"/>
        <v>0</v>
      </c>
      <c r="O20" s="87">
        <f t="shared" si="10"/>
        <v>0</v>
      </c>
      <c r="P20" s="88">
        <f t="shared" si="11"/>
        <v>0</v>
      </c>
    </row>
    <row r="21" spans="1:16" ht="13.2" x14ac:dyDescent="0.2">
      <c r="A21" s="152">
        <v>5</v>
      </c>
      <c r="B21" s="157" t="s">
        <v>56</v>
      </c>
      <c r="C21" s="163" t="s">
        <v>266</v>
      </c>
      <c r="D21" s="157" t="s">
        <v>58</v>
      </c>
      <c r="E21" s="162">
        <v>8.8000000000000007</v>
      </c>
      <c r="F21" s="133"/>
      <c r="G21" s="134"/>
      <c r="H21" s="135">
        <f t="shared" si="12"/>
        <v>0</v>
      </c>
      <c r="I21" s="134"/>
      <c r="J21" s="134"/>
      <c r="K21" s="134">
        <f t="shared" si="13"/>
        <v>0</v>
      </c>
      <c r="L21" s="105">
        <f t="shared" si="7"/>
        <v>0</v>
      </c>
      <c r="M21" s="87">
        <f t="shared" si="8"/>
        <v>0</v>
      </c>
      <c r="N21" s="87">
        <f t="shared" si="9"/>
        <v>0</v>
      </c>
      <c r="O21" s="87">
        <f t="shared" si="10"/>
        <v>0</v>
      </c>
      <c r="P21" s="88">
        <f t="shared" si="11"/>
        <v>0</v>
      </c>
    </row>
    <row r="22" spans="1:16" ht="13.2" x14ac:dyDescent="0.2">
      <c r="A22" s="160">
        <v>6</v>
      </c>
      <c r="B22" s="157" t="s">
        <v>56</v>
      </c>
      <c r="C22" s="163" t="s">
        <v>177</v>
      </c>
      <c r="D22" s="157" t="s">
        <v>70</v>
      </c>
      <c r="E22" s="162">
        <v>1.6</v>
      </c>
      <c r="F22" s="133"/>
      <c r="G22" s="134"/>
      <c r="H22" s="135">
        <f t="shared" si="12"/>
        <v>0</v>
      </c>
      <c r="I22" s="134"/>
      <c r="J22" s="134"/>
      <c r="K22" s="134">
        <f t="shared" si="13"/>
        <v>0</v>
      </c>
      <c r="L22" s="105">
        <f t="shared" si="7"/>
        <v>0</v>
      </c>
      <c r="M22" s="87">
        <f t="shared" si="8"/>
        <v>0</v>
      </c>
      <c r="N22" s="87">
        <f t="shared" si="9"/>
        <v>0</v>
      </c>
      <c r="O22" s="87">
        <f t="shared" si="10"/>
        <v>0</v>
      </c>
      <c r="P22" s="88">
        <f t="shared" si="11"/>
        <v>0</v>
      </c>
    </row>
    <row r="23" spans="1:16" ht="13.2" x14ac:dyDescent="0.2">
      <c r="A23" s="152">
        <v>7</v>
      </c>
      <c r="B23" s="157"/>
      <c r="C23" s="164" t="s">
        <v>160</v>
      </c>
      <c r="D23" s="157" t="s">
        <v>157</v>
      </c>
      <c r="E23" s="162">
        <f>E22*0.12</f>
        <v>0.192</v>
      </c>
      <c r="F23" s="133"/>
      <c r="G23" s="134"/>
      <c r="H23" s="135"/>
      <c r="I23" s="134"/>
      <c r="J23" s="134"/>
      <c r="K23" s="134">
        <f t="shared" si="13"/>
        <v>0</v>
      </c>
      <c r="L23" s="105">
        <f t="shared" si="7"/>
        <v>0</v>
      </c>
      <c r="M23" s="87">
        <f t="shared" si="8"/>
        <v>0</v>
      </c>
      <c r="N23" s="87">
        <f t="shared" si="9"/>
        <v>0</v>
      </c>
      <c r="O23" s="87">
        <f t="shared" si="10"/>
        <v>0</v>
      </c>
      <c r="P23" s="88">
        <f t="shared" si="11"/>
        <v>0</v>
      </c>
    </row>
    <row r="24" spans="1:16" ht="13.2" x14ac:dyDescent="0.2">
      <c r="A24" s="152">
        <v>8</v>
      </c>
      <c r="B24" s="157"/>
      <c r="C24" s="164" t="s">
        <v>299</v>
      </c>
      <c r="D24" s="157" t="s">
        <v>165</v>
      </c>
      <c r="E24" s="173">
        <f>E22*4.5</f>
        <v>7.2</v>
      </c>
      <c r="F24" s="133"/>
      <c r="G24" s="134"/>
      <c r="H24" s="135"/>
      <c r="I24" s="134"/>
      <c r="J24" s="134"/>
      <c r="K24" s="134">
        <f t="shared" si="13"/>
        <v>0</v>
      </c>
      <c r="L24" s="105">
        <f t="shared" si="7"/>
        <v>0</v>
      </c>
      <c r="M24" s="87">
        <f t="shared" si="8"/>
        <v>0</v>
      </c>
      <c r="N24" s="87">
        <f t="shared" si="9"/>
        <v>0</v>
      </c>
      <c r="O24" s="87">
        <f t="shared" si="10"/>
        <v>0</v>
      </c>
      <c r="P24" s="88">
        <f t="shared" si="11"/>
        <v>0</v>
      </c>
    </row>
    <row r="25" spans="1:16" ht="13.2" x14ac:dyDescent="0.2">
      <c r="A25" s="160">
        <v>9</v>
      </c>
      <c r="B25" s="157" t="s">
        <v>56</v>
      </c>
      <c r="C25" s="163" t="s">
        <v>248</v>
      </c>
      <c r="D25" s="157" t="s">
        <v>70</v>
      </c>
      <c r="E25" s="162">
        <v>1.1000000000000001</v>
      </c>
      <c r="F25" s="133"/>
      <c r="G25" s="134"/>
      <c r="H25" s="135">
        <f t="shared" ref="H25" si="14">ROUND(F25*G25,2)</f>
        <v>0</v>
      </c>
      <c r="I25" s="134"/>
      <c r="J25" s="134"/>
      <c r="K25" s="134">
        <f t="shared" si="13"/>
        <v>0</v>
      </c>
      <c r="L25" s="105">
        <f t="shared" si="7"/>
        <v>0</v>
      </c>
      <c r="M25" s="87">
        <f t="shared" si="8"/>
        <v>0</v>
      </c>
      <c r="N25" s="87">
        <f t="shared" si="9"/>
        <v>0</v>
      </c>
      <c r="O25" s="87">
        <f t="shared" si="10"/>
        <v>0</v>
      </c>
      <c r="P25" s="88">
        <f t="shared" si="11"/>
        <v>0</v>
      </c>
    </row>
    <row r="26" spans="1:16" ht="13.2" x14ac:dyDescent="0.2">
      <c r="A26" s="152">
        <v>10</v>
      </c>
      <c r="B26" s="157"/>
      <c r="C26" s="164" t="s">
        <v>269</v>
      </c>
      <c r="D26" s="157" t="s">
        <v>157</v>
      </c>
      <c r="E26" s="162">
        <f>E25*0.15</f>
        <v>0.16500000000000001</v>
      </c>
      <c r="F26" s="133"/>
      <c r="G26" s="134"/>
      <c r="H26" s="135"/>
      <c r="I26" s="134"/>
      <c r="J26" s="134"/>
      <c r="K26" s="134">
        <f t="shared" si="13"/>
        <v>0</v>
      </c>
      <c r="L26" s="105">
        <f t="shared" si="7"/>
        <v>0</v>
      </c>
      <c r="M26" s="87">
        <f t="shared" si="8"/>
        <v>0</v>
      </c>
      <c r="N26" s="87">
        <f t="shared" si="9"/>
        <v>0</v>
      </c>
      <c r="O26" s="87">
        <f t="shared" si="10"/>
        <v>0</v>
      </c>
      <c r="P26" s="88">
        <f t="shared" si="11"/>
        <v>0</v>
      </c>
    </row>
    <row r="27" spans="1:16" ht="26.4" x14ac:dyDescent="0.2">
      <c r="A27" s="152">
        <v>11</v>
      </c>
      <c r="B27" s="157"/>
      <c r="C27" s="164" t="s">
        <v>270</v>
      </c>
      <c r="D27" s="157" t="s">
        <v>165</v>
      </c>
      <c r="E27" s="162">
        <f>E25*3.5</f>
        <v>3.8500000000000005</v>
      </c>
      <c r="F27" s="133"/>
      <c r="G27" s="134"/>
      <c r="H27" s="135"/>
      <c r="I27" s="134"/>
      <c r="J27" s="134"/>
      <c r="K27" s="134">
        <f t="shared" si="13"/>
        <v>0</v>
      </c>
      <c r="L27" s="105">
        <f t="shared" si="7"/>
        <v>0</v>
      </c>
      <c r="M27" s="87">
        <f t="shared" si="8"/>
        <v>0</v>
      </c>
      <c r="N27" s="87">
        <f t="shared" si="9"/>
        <v>0</v>
      </c>
      <c r="O27" s="87">
        <f t="shared" si="10"/>
        <v>0</v>
      </c>
      <c r="P27" s="88">
        <f t="shared" si="11"/>
        <v>0</v>
      </c>
    </row>
    <row r="28" spans="1:16" ht="13.2" x14ac:dyDescent="0.2">
      <c r="A28" s="160">
        <v>12</v>
      </c>
      <c r="B28" s="157" t="s">
        <v>56</v>
      </c>
      <c r="C28" s="163" t="s">
        <v>196</v>
      </c>
      <c r="D28" s="157" t="s">
        <v>60</v>
      </c>
      <c r="E28" s="162">
        <v>1</v>
      </c>
      <c r="F28" s="133"/>
      <c r="G28" s="134"/>
      <c r="H28" s="135">
        <f t="shared" si="12"/>
        <v>0</v>
      </c>
      <c r="I28" s="134"/>
      <c r="J28" s="134"/>
      <c r="K28" s="134">
        <f t="shared" si="13"/>
        <v>0</v>
      </c>
      <c r="L28" s="105">
        <f t="shared" si="7"/>
        <v>0</v>
      </c>
      <c r="M28" s="87">
        <f t="shared" si="8"/>
        <v>0</v>
      </c>
      <c r="N28" s="87">
        <f t="shared" si="9"/>
        <v>0</v>
      </c>
      <c r="O28" s="87">
        <f t="shared" si="10"/>
        <v>0</v>
      </c>
      <c r="P28" s="88">
        <f t="shared" si="11"/>
        <v>0</v>
      </c>
    </row>
    <row r="29" spans="1:16" ht="12.75" customHeight="1" x14ac:dyDescent="0.2">
      <c r="A29" s="160"/>
      <c r="B29" s="157"/>
      <c r="C29" s="188" t="s">
        <v>374</v>
      </c>
      <c r="D29" s="157"/>
      <c r="E29" s="162"/>
      <c r="F29" s="133"/>
      <c r="G29" s="134"/>
      <c r="H29" s="135"/>
      <c r="I29" s="134"/>
      <c r="J29" s="134"/>
      <c r="K29" s="134"/>
      <c r="L29" s="105">
        <f t="shared" si="7"/>
        <v>0</v>
      </c>
      <c r="M29" s="87">
        <f t="shared" si="8"/>
        <v>0</v>
      </c>
      <c r="N29" s="87">
        <f t="shared" si="9"/>
        <v>0</v>
      </c>
      <c r="O29" s="87">
        <f t="shared" si="10"/>
        <v>0</v>
      </c>
      <c r="P29" s="88">
        <f t="shared" si="11"/>
        <v>0</v>
      </c>
    </row>
    <row r="30" spans="1:16" ht="13.2" x14ac:dyDescent="0.2">
      <c r="A30" s="152">
        <v>1</v>
      </c>
      <c r="B30" s="174" t="s">
        <v>56</v>
      </c>
      <c r="C30" s="163" t="s">
        <v>375</v>
      </c>
      <c r="D30" s="157" t="s">
        <v>58</v>
      </c>
      <c r="E30" s="162">
        <f>E17</f>
        <v>13.6</v>
      </c>
      <c r="F30" s="133"/>
      <c r="G30" s="134"/>
      <c r="H30" s="135">
        <f t="shared" ref="H30" si="15">ROUND(F30*G30,2)</f>
        <v>0</v>
      </c>
      <c r="I30" s="134"/>
      <c r="J30" s="134"/>
      <c r="K30" s="134">
        <f t="shared" ref="K30" si="16">ROUND(H30+J30+I30,2)</f>
        <v>0</v>
      </c>
      <c r="L30" s="105">
        <f t="shared" si="7"/>
        <v>0</v>
      </c>
      <c r="M30" s="87">
        <f t="shared" si="8"/>
        <v>0</v>
      </c>
      <c r="N30" s="87">
        <f t="shared" si="9"/>
        <v>0</v>
      </c>
      <c r="O30" s="87">
        <f t="shared" si="10"/>
        <v>0</v>
      </c>
      <c r="P30" s="88">
        <f t="shared" si="11"/>
        <v>0</v>
      </c>
    </row>
    <row r="31" spans="1:16" ht="26.4" x14ac:dyDescent="0.2">
      <c r="A31" s="160">
        <v>2</v>
      </c>
      <c r="B31" s="157" t="s">
        <v>56</v>
      </c>
      <c r="C31" s="163" t="s">
        <v>376</v>
      </c>
      <c r="D31" s="157" t="s">
        <v>58</v>
      </c>
      <c r="E31" s="162">
        <v>13.6</v>
      </c>
      <c r="F31" s="133"/>
      <c r="G31" s="134"/>
      <c r="H31" s="135">
        <f t="shared" si="12"/>
        <v>0</v>
      </c>
      <c r="I31" s="134"/>
      <c r="J31" s="134"/>
      <c r="K31" s="134">
        <f t="shared" si="13"/>
        <v>0</v>
      </c>
      <c r="L31" s="105">
        <f t="shared" si="7"/>
        <v>0</v>
      </c>
      <c r="M31" s="87">
        <f t="shared" si="8"/>
        <v>0</v>
      </c>
      <c r="N31" s="87">
        <f t="shared" si="9"/>
        <v>0</v>
      </c>
      <c r="O31" s="87">
        <f t="shared" si="10"/>
        <v>0</v>
      </c>
      <c r="P31" s="88">
        <f t="shared" si="11"/>
        <v>0</v>
      </c>
    </row>
    <row r="32" spans="1:16" ht="39.6" x14ac:dyDescent="0.2">
      <c r="A32" s="160">
        <v>3</v>
      </c>
      <c r="B32" s="157" t="s">
        <v>56</v>
      </c>
      <c r="C32" s="163" t="s">
        <v>377</v>
      </c>
      <c r="D32" s="157" t="s">
        <v>105</v>
      </c>
      <c r="E32" s="162">
        <v>0.2</v>
      </c>
      <c r="F32" s="133"/>
      <c r="G32" s="134"/>
      <c r="H32" s="135">
        <f t="shared" si="12"/>
        <v>0</v>
      </c>
      <c r="I32" s="134"/>
      <c r="J32" s="134"/>
      <c r="K32" s="134"/>
      <c r="L32" s="105">
        <f t="shared" si="7"/>
        <v>0</v>
      </c>
      <c r="M32" s="87">
        <f t="shared" si="8"/>
        <v>0</v>
      </c>
      <c r="N32" s="87">
        <f t="shared" si="9"/>
        <v>0</v>
      </c>
      <c r="O32" s="87">
        <f t="shared" si="10"/>
        <v>0</v>
      </c>
      <c r="P32" s="88">
        <f t="shared" si="11"/>
        <v>0</v>
      </c>
    </row>
    <row r="33" spans="1:16" ht="39.6" x14ac:dyDescent="0.2">
      <c r="A33" s="165"/>
      <c r="B33" s="166"/>
      <c r="C33" s="167" t="s">
        <v>378</v>
      </c>
      <c r="D33" s="168"/>
      <c r="E33" s="169"/>
      <c r="F33" s="170"/>
      <c r="G33" s="171"/>
      <c r="H33" s="171"/>
      <c r="I33" s="171"/>
      <c r="J33" s="171"/>
      <c r="K33" s="187"/>
      <c r="L33" s="105"/>
      <c r="M33" s="87"/>
      <c r="N33" s="87"/>
      <c r="O33" s="87"/>
      <c r="P33" s="88"/>
    </row>
    <row r="34" spans="1:16" ht="26.4" x14ac:dyDescent="0.2">
      <c r="A34" s="160">
        <v>1</v>
      </c>
      <c r="B34" s="157" t="s">
        <v>56</v>
      </c>
      <c r="C34" s="163" t="s">
        <v>261</v>
      </c>
      <c r="D34" s="157" t="s">
        <v>262</v>
      </c>
      <c r="E34" s="162">
        <v>3</v>
      </c>
      <c r="F34" s="133"/>
      <c r="G34" s="134"/>
      <c r="H34" s="135">
        <f t="shared" ref="H34" si="17">ROUND(F34*G34,2)</f>
        <v>0</v>
      </c>
      <c r="I34" s="134"/>
      <c r="J34" s="134"/>
      <c r="K34" s="134">
        <f t="shared" ref="K34" si="18">ROUND(H34+J34+I34,2)</f>
        <v>0</v>
      </c>
      <c r="L34" s="105">
        <f t="shared" si="7"/>
        <v>0</v>
      </c>
      <c r="M34" s="87">
        <f t="shared" si="8"/>
        <v>0</v>
      </c>
      <c r="N34" s="87">
        <f t="shared" si="9"/>
        <v>0</v>
      </c>
      <c r="O34" s="87">
        <f t="shared" si="10"/>
        <v>0</v>
      </c>
      <c r="P34" s="88">
        <f t="shared" si="11"/>
        <v>0</v>
      </c>
    </row>
    <row r="35" spans="1:16" ht="13.2" x14ac:dyDescent="0.2">
      <c r="A35" s="160"/>
      <c r="B35" s="157"/>
      <c r="C35" s="188" t="s">
        <v>371</v>
      </c>
      <c r="D35" s="157"/>
      <c r="E35" s="162"/>
      <c r="F35" s="133"/>
      <c r="G35" s="134"/>
      <c r="H35" s="135"/>
      <c r="I35" s="134"/>
      <c r="J35" s="134"/>
      <c r="K35" s="134"/>
      <c r="L35" s="105">
        <f t="shared" si="7"/>
        <v>0</v>
      </c>
      <c r="M35" s="87">
        <f t="shared" si="8"/>
        <v>0</v>
      </c>
      <c r="N35" s="87">
        <f t="shared" si="9"/>
        <v>0</v>
      </c>
      <c r="O35" s="87">
        <f t="shared" si="10"/>
        <v>0</v>
      </c>
      <c r="P35" s="88">
        <f t="shared" si="11"/>
        <v>0</v>
      </c>
    </row>
    <row r="36" spans="1:16" ht="13.2" x14ac:dyDescent="0.2">
      <c r="A36" s="152">
        <v>1</v>
      </c>
      <c r="B36" s="174" t="s">
        <v>56</v>
      </c>
      <c r="C36" s="163" t="s">
        <v>372</v>
      </c>
      <c r="D36" s="157" t="s">
        <v>58</v>
      </c>
      <c r="E36" s="162">
        <v>37.4</v>
      </c>
      <c r="F36" s="133"/>
      <c r="G36" s="134"/>
      <c r="H36" s="135">
        <f t="shared" ref="H36:H41" si="19">ROUND(F36*G36,2)</f>
        <v>0</v>
      </c>
      <c r="I36" s="134"/>
      <c r="J36" s="134"/>
      <c r="K36" s="134">
        <f t="shared" ref="K36:K37" si="20">ROUND(H36+J36+I36,2)</f>
        <v>0</v>
      </c>
      <c r="L36" s="105">
        <f t="shared" si="7"/>
        <v>0</v>
      </c>
      <c r="M36" s="87">
        <f t="shared" si="8"/>
        <v>0</v>
      </c>
      <c r="N36" s="87">
        <f t="shared" si="9"/>
        <v>0</v>
      </c>
      <c r="O36" s="87">
        <f t="shared" si="10"/>
        <v>0</v>
      </c>
      <c r="P36" s="88">
        <f t="shared" si="11"/>
        <v>0</v>
      </c>
    </row>
    <row r="37" spans="1:16" ht="26.4" x14ac:dyDescent="0.2">
      <c r="A37" s="152">
        <v>2</v>
      </c>
      <c r="B37" s="174" t="s">
        <v>56</v>
      </c>
      <c r="C37" s="154" t="s">
        <v>373</v>
      </c>
      <c r="D37" s="155" t="s">
        <v>58</v>
      </c>
      <c r="E37" s="156">
        <v>13.2</v>
      </c>
      <c r="F37" s="133"/>
      <c r="G37" s="134"/>
      <c r="H37" s="135">
        <f t="shared" si="19"/>
        <v>0</v>
      </c>
      <c r="I37" s="134"/>
      <c r="J37" s="134"/>
      <c r="K37" s="134">
        <f t="shared" si="20"/>
        <v>0</v>
      </c>
      <c r="L37" s="105">
        <f t="shared" si="7"/>
        <v>0</v>
      </c>
      <c r="M37" s="87">
        <f t="shared" si="8"/>
        <v>0</v>
      </c>
      <c r="N37" s="87">
        <f t="shared" si="9"/>
        <v>0</v>
      </c>
      <c r="O37" s="87">
        <f t="shared" si="10"/>
        <v>0</v>
      </c>
      <c r="P37" s="88">
        <f t="shared" si="11"/>
        <v>0</v>
      </c>
    </row>
    <row r="38" spans="1:16" ht="13.2" x14ac:dyDescent="0.2">
      <c r="A38" s="160">
        <v>3</v>
      </c>
      <c r="B38" s="157" t="s">
        <v>56</v>
      </c>
      <c r="C38" s="163" t="s">
        <v>264</v>
      </c>
      <c r="D38" s="157" t="s">
        <v>58</v>
      </c>
      <c r="E38" s="162">
        <v>24.2</v>
      </c>
      <c r="F38" s="133"/>
      <c r="G38" s="134"/>
      <c r="H38" s="135">
        <f t="shared" si="19"/>
        <v>0</v>
      </c>
      <c r="I38" s="134"/>
      <c r="J38" s="134"/>
      <c r="K38" s="134"/>
      <c r="L38" s="105">
        <f t="shared" si="7"/>
        <v>0</v>
      </c>
      <c r="M38" s="87">
        <f t="shared" si="8"/>
        <v>0</v>
      </c>
      <c r="N38" s="87">
        <f t="shared" si="9"/>
        <v>0</v>
      </c>
      <c r="O38" s="87">
        <f t="shared" si="10"/>
        <v>0</v>
      </c>
      <c r="P38" s="88">
        <f t="shared" si="11"/>
        <v>0</v>
      </c>
    </row>
    <row r="39" spans="1:16" ht="26.4" x14ac:dyDescent="0.2">
      <c r="A39" s="152">
        <v>4</v>
      </c>
      <c r="B39" s="157" t="s">
        <v>56</v>
      </c>
      <c r="C39" s="163" t="s">
        <v>265</v>
      </c>
      <c r="D39" s="157" t="s">
        <v>58</v>
      </c>
      <c r="E39" s="162">
        <v>13.2</v>
      </c>
      <c r="F39" s="133"/>
      <c r="G39" s="134"/>
      <c r="H39" s="135">
        <f t="shared" si="19"/>
        <v>0</v>
      </c>
      <c r="I39" s="134"/>
      <c r="J39" s="134"/>
      <c r="K39" s="134">
        <f t="shared" ref="K39:K47" si="21">ROUND(H39+J39+I39,2)</f>
        <v>0</v>
      </c>
      <c r="L39" s="105">
        <f t="shared" si="7"/>
        <v>0</v>
      </c>
      <c r="M39" s="87">
        <f t="shared" si="8"/>
        <v>0</v>
      </c>
      <c r="N39" s="87">
        <f t="shared" si="9"/>
        <v>0</v>
      </c>
      <c r="O39" s="87">
        <f t="shared" si="10"/>
        <v>0</v>
      </c>
      <c r="P39" s="88">
        <f t="shared" si="11"/>
        <v>0</v>
      </c>
    </row>
    <row r="40" spans="1:16" ht="13.2" x14ac:dyDescent="0.2">
      <c r="A40" s="152">
        <v>5</v>
      </c>
      <c r="B40" s="157" t="s">
        <v>56</v>
      </c>
      <c r="C40" s="163" t="s">
        <v>266</v>
      </c>
      <c r="D40" s="157" t="s">
        <v>58</v>
      </c>
      <c r="E40" s="162">
        <v>24.2</v>
      </c>
      <c r="F40" s="133"/>
      <c r="G40" s="134"/>
      <c r="H40" s="135">
        <f t="shared" si="19"/>
        <v>0</v>
      </c>
      <c r="I40" s="134"/>
      <c r="J40" s="134"/>
      <c r="K40" s="134">
        <f t="shared" si="21"/>
        <v>0</v>
      </c>
      <c r="L40" s="105">
        <f t="shared" si="7"/>
        <v>0</v>
      </c>
      <c r="M40" s="87">
        <f t="shared" si="8"/>
        <v>0</v>
      </c>
      <c r="N40" s="87">
        <f t="shared" si="9"/>
        <v>0</v>
      </c>
      <c r="O40" s="87">
        <f t="shared" si="10"/>
        <v>0</v>
      </c>
      <c r="P40" s="88">
        <f t="shared" si="11"/>
        <v>0</v>
      </c>
    </row>
    <row r="41" spans="1:16" ht="13.2" x14ac:dyDescent="0.2">
      <c r="A41" s="160">
        <v>6</v>
      </c>
      <c r="B41" s="157" t="s">
        <v>56</v>
      </c>
      <c r="C41" s="163" t="s">
        <v>177</v>
      </c>
      <c r="D41" s="157" t="s">
        <v>70</v>
      </c>
      <c r="E41" s="162">
        <v>4.5</v>
      </c>
      <c r="F41" s="133"/>
      <c r="G41" s="134"/>
      <c r="H41" s="135">
        <f t="shared" si="19"/>
        <v>0</v>
      </c>
      <c r="I41" s="134"/>
      <c r="J41" s="134"/>
      <c r="K41" s="134">
        <f t="shared" si="21"/>
        <v>0</v>
      </c>
      <c r="L41" s="105">
        <f t="shared" si="7"/>
        <v>0</v>
      </c>
      <c r="M41" s="87">
        <f t="shared" si="8"/>
        <v>0</v>
      </c>
      <c r="N41" s="87">
        <f t="shared" si="9"/>
        <v>0</v>
      </c>
      <c r="O41" s="87">
        <f t="shared" si="10"/>
        <v>0</v>
      </c>
      <c r="P41" s="88">
        <f t="shared" si="11"/>
        <v>0</v>
      </c>
    </row>
    <row r="42" spans="1:16" ht="13.2" x14ac:dyDescent="0.2">
      <c r="A42" s="152">
        <v>7</v>
      </c>
      <c r="B42" s="157"/>
      <c r="C42" s="164" t="s">
        <v>160</v>
      </c>
      <c r="D42" s="157" t="s">
        <v>157</v>
      </c>
      <c r="E42" s="162">
        <f>E41*0.12</f>
        <v>0.54</v>
      </c>
      <c r="F42" s="133"/>
      <c r="G42" s="134"/>
      <c r="H42" s="135"/>
      <c r="I42" s="134"/>
      <c r="J42" s="134"/>
      <c r="K42" s="134">
        <f t="shared" si="21"/>
        <v>0</v>
      </c>
      <c r="L42" s="105">
        <f t="shared" si="7"/>
        <v>0</v>
      </c>
      <c r="M42" s="87">
        <f t="shared" si="8"/>
        <v>0</v>
      </c>
      <c r="N42" s="87">
        <f t="shared" si="9"/>
        <v>0</v>
      </c>
      <c r="O42" s="87">
        <f t="shared" si="10"/>
        <v>0</v>
      </c>
      <c r="P42" s="88">
        <f t="shared" si="11"/>
        <v>0</v>
      </c>
    </row>
    <row r="43" spans="1:16" ht="13.2" x14ac:dyDescent="0.2">
      <c r="A43" s="152">
        <v>8</v>
      </c>
      <c r="B43" s="157"/>
      <c r="C43" s="164" t="s">
        <v>299</v>
      </c>
      <c r="D43" s="157" t="s">
        <v>165</v>
      </c>
      <c r="E43" s="173">
        <f>E41*4.5</f>
        <v>20.25</v>
      </c>
      <c r="F43" s="133"/>
      <c r="G43" s="134"/>
      <c r="H43" s="135"/>
      <c r="I43" s="134"/>
      <c r="J43" s="134"/>
      <c r="K43" s="134">
        <f t="shared" si="21"/>
        <v>0</v>
      </c>
      <c r="L43" s="105">
        <f t="shared" si="7"/>
        <v>0</v>
      </c>
      <c r="M43" s="87">
        <f t="shared" si="8"/>
        <v>0</v>
      </c>
      <c r="N43" s="87">
        <f t="shared" si="9"/>
        <v>0</v>
      </c>
      <c r="O43" s="87">
        <f t="shared" si="10"/>
        <v>0</v>
      </c>
      <c r="P43" s="88">
        <f t="shared" si="11"/>
        <v>0</v>
      </c>
    </row>
    <row r="44" spans="1:16" ht="13.2" x14ac:dyDescent="0.2">
      <c r="A44" s="160">
        <v>9</v>
      </c>
      <c r="B44" s="157" t="s">
        <v>56</v>
      </c>
      <c r="C44" s="163" t="s">
        <v>248</v>
      </c>
      <c r="D44" s="157" t="s">
        <v>70</v>
      </c>
      <c r="E44" s="162">
        <v>2.9</v>
      </c>
      <c r="F44" s="133"/>
      <c r="G44" s="134"/>
      <c r="H44" s="135">
        <f t="shared" ref="H44" si="22">ROUND(F44*G44,2)</f>
        <v>0</v>
      </c>
      <c r="I44" s="134"/>
      <c r="J44" s="134"/>
      <c r="K44" s="134">
        <f t="shared" si="21"/>
        <v>0</v>
      </c>
      <c r="L44" s="105">
        <f t="shared" si="7"/>
        <v>0</v>
      </c>
      <c r="M44" s="87">
        <f t="shared" si="8"/>
        <v>0</v>
      </c>
      <c r="N44" s="87">
        <f t="shared" si="9"/>
        <v>0</v>
      </c>
      <c r="O44" s="87">
        <f t="shared" si="10"/>
        <v>0</v>
      </c>
      <c r="P44" s="88">
        <f t="shared" si="11"/>
        <v>0</v>
      </c>
    </row>
    <row r="45" spans="1:16" ht="13.2" x14ac:dyDescent="0.2">
      <c r="A45" s="152">
        <v>10</v>
      </c>
      <c r="B45" s="157"/>
      <c r="C45" s="164" t="s">
        <v>269</v>
      </c>
      <c r="D45" s="157" t="s">
        <v>157</v>
      </c>
      <c r="E45" s="162">
        <f>E44*0.15</f>
        <v>0.435</v>
      </c>
      <c r="F45" s="133"/>
      <c r="G45" s="134"/>
      <c r="H45" s="135"/>
      <c r="I45" s="134"/>
      <c r="J45" s="134"/>
      <c r="K45" s="134">
        <f t="shared" si="21"/>
        <v>0</v>
      </c>
      <c r="L45" s="105">
        <f t="shared" si="7"/>
        <v>0</v>
      </c>
      <c r="M45" s="87">
        <f t="shared" si="8"/>
        <v>0</v>
      </c>
      <c r="N45" s="87">
        <f t="shared" si="9"/>
        <v>0</v>
      </c>
      <c r="O45" s="87">
        <f t="shared" si="10"/>
        <v>0</v>
      </c>
      <c r="P45" s="88">
        <f t="shared" si="11"/>
        <v>0</v>
      </c>
    </row>
    <row r="46" spans="1:16" ht="26.4" x14ac:dyDescent="0.2">
      <c r="A46" s="152">
        <v>11</v>
      </c>
      <c r="B46" s="157"/>
      <c r="C46" s="164" t="s">
        <v>270</v>
      </c>
      <c r="D46" s="157" t="s">
        <v>165</v>
      </c>
      <c r="E46" s="162">
        <f>E44*3.5</f>
        <v>10.15</v>
      </c>
      <c r="F46" s="133"/>
      <c r="G46" s="134"/>
      <c r="H46" s="135"/>
      <c r="I46" s="134"/>
      <c r="J46" s="134"/>
      <c r="K46" s="134">
        <f t="shared" si="21"/>
        <v>0</v>
      </c>
      <c r="L46" s="105">
        <f t="shared" si="7"/>
        <v>0</v>
      </c>
      <c r="M46" s="87">
        <f t="shared" si="8"/>
        <v>0</v>
      </c>
      <c r="N46" s="87">
        <f t="shared" si="9"/>
        <v>0</v>
      </c>
      <c r="O46" s="87">
        <f t="shared" si="10"/>
        <v>0</v>
      </c>
      <c r="P46" s="88">
        <f t="shared" si="11"/>
        <v>0</v>
      </c>
    </row>
    <row r="47" spans="1:16" ht="13.2" x14ac:dyDescent="0.2">
      <c r="A47" s="160">
        <v>12</v>
      </c>
      <c r="B47" s="157" t="s">
        <v>56</v>
      </c>
      <c r="C47" s="163" t="s">
        <v>196</v>
      </c>
      <c r="D47" s="157" t="s">
        <v>60</v>
      </c>
      <c r="E47" s="162">
        <v>1</v>
      </c>
      <c r="F47" s="133"/>
      <c r="G47" s="134"/>
      <c r="H47" s="135">
        <f t="shared" ref="H47" si="23">ROUND(F47*G47,2)</f>
        <v>0</v>
      </c>
      <c r="I47" s="134"/>
      <c r="J47" s="134"/>
      <c r="K47" s="134">
        <f t="shared" si="21"/>
        <v>0</v>
      </c>
      <c r="L47" s="105">
        <f t="shared" si="7"/>
        <v>0</v>
      </c>
      <c r="M47" s="87">
        <f t="shared" si="8"/>
        <v>0</v>
      </c>
      <c r="N47" s="87">
        <f t="shared" si="9"/>
        <v>0</v>
      </c>
      <c r="O47" s="87">
        <f t="shared" si="10"/>
        <v>0</v>
      </c>
      <c r="P47" s="88">
        <f t="shared" si="11"/>
        <v>0</v>
      </c>
    </row>
    <row r="48" spans="1:16" ht="13.2" x14ac:dyDescent="0.2">
      <c r="A48" s="160"/>
      <c r="B48" s="157"/>
      <c r="C48" s="188" t="s">
        <v>374</v>
      </c>
      <c r="D48" s="157"/>
      <c r="E48" s="162"/>
      <c r="F48" s="133"/>
      <c r="G48" s="134"/>
      <c r="H48" s="135"/>
      <c r="I48" s="134"/>
      <c r="J48" s="134"/>
      <c r="K48" s="134"/>
      <c r="L48" s="105">
        <f t="shared" si="7"/>
        <v>0</v>
      </c>
      <c r="M48" s="87">
        <f t="shared" si="8"/>
        <v>0</v>
      </c>
      <c r="N48" s="87">
        <f t="shared" si="9"/>
        <v>0</v>
      </c>
      <c r="O48" s="87">
        <f t="shared" si="10"/>
        <v>0</v>
      </c>
      <c r="P48" s="88">
        <f t="shared" si="11"/>
        <v>0</v>
      </c>
    </row>
    <row r="49" spans="1:16" ht="13.2" x14ac:dyDescent="0.2">
      <c r="A49" s="152">
        <v>1</v>
      </c>
      <c r="B49" s="174" t="s">
        <v>56</v>
      </c>
      <c r="C49" s="163" t="s">
        <v>375</v>
      </c>
      <c r="D49" s="157" t="s">
        <v>58</v>
      </c>
      <c r="E49" s="162">
        <f>E36</f>
        <v>37.4</v>
      </c>
      <c r="F49" s="133"/>
      <c r="G49" s="134"/>
      <c r="H49" s="135">
        <f t="shared" ref="H49:H54" si="24">ROUND(F49*G49,2)</f>
        <v>0</v>
      </c>
      <c r="I49" s="134"/>
      <c r="J49" s="134"/>
      <c r="K49" s="134">
        <f t="shared" ref="K49:K50" si="25">ROUND(H49+J49+I49,2)</f>
        <v>0</v>
      </c>
      <c r="L49" s="105">
        <f t="shared" si="7"/>
        <v>0</v>
      </c>
      <c r="M49" s="87">
        <f t="shared" si="8"/>
        <v>0</v>
      </c>
      <c r="N49" s="87">
        <f t="shared" si="9"/>
        <v>0</v>
      </c>
      <c r="O49" s="87">
        <f t="shared" si="10"/>
        <v>0</v>
      </c>
      <c r="P49" s="88">
        <f t="shared" si="11"/>
        <v>0</v>
      </c>
    </row>
    <row r="50" spans="1:16" ht="26.4" x14ac:dyDescent="0.2">
      <c r="A50" s="160">
        <v>2</v>
      </c>
      <c r="B50" s="157" t="s">
        <v>56</v>
      </c>
      <c r="C50" s="163" t="s">
        <v>376</v>
      </c>
      <c r="D50" s="157" t="s">
        <v>58</v>
      </c>
      <c r="E50" s="162">
        <f>E49</f>
        <v>37.4</v>
      </c>
      <c r="F50" s="133"/>
      <c r="G50" s="134"/>
      <c r="H50" s="135">
        <f t="shared" si="24"/>
        <v>0</v>
      </c>
      <c r="I50" s="134"/>
      <c r="J50" s="134"/>
      <c r="K50" s="134">
        <f t="shared" si="25"/>
        <v>0</v>
      </c>
      <c r="L50" s="105">
        <f t="shared" si="7"/>
        <v>0</v>
      </c>
      <c r="M50" s="87">
        <f t="shared" si="8"/>
        <v>0</v>
      </c>
      <c r="N50" s="87">
        <f t="shared" si="9"/>
        <v>0</v>
      </c>
      <c r="O50" s="87">
        <f t="shared" si="10"/>
        <v>0</v>
      </c>
      <c r="P50" s="88">
        <f t="shared" si="11"/>
        <v>0</v>
      </c>
    </row>
    <row r="51" spans="1:16" ht="39.6" x14ac:dyDescent="0.2">
      <c r="A51" s="160">
        <v>3</v>
      </c>
      <c r="B51" s="157" t="s">
        <v>56</v>
      </c>
      <c r="C51" s="163" t="s">
        <v>377</v>
      </c>
      <c r="D51" s="157" t="s">
        <v>105</v>
      </c>
      <c r="E51" s="162">
        <v>0.7</v>
      </c>
      <c r="F51" s="133"/>
      <c r="G51" s="134"/>
      <c r="H51" s="135">
        <f t="shared" si="24"/>
        <v>0</v>
      </c>
      <c r="I51" s="134"/>
      <c r="J51" s="134"/>
      <c r="K51" s="134"/>
      <c r="L51" s="105">
        <f t="shared" si="7"/>
        <v>0</v>
      </c>
      <c r="M51" s="87">
        <f t="shared" si="8"/>
        <v>0</v>
      </c>
      <c r="N51" s="87">
        <f t="shared" si="9"/>
        <v>0</v>
      </c>
      <c r="O51" s="87">
        <f t="shared" si="10"/>
        <v>0</v>
      </c>
      <c r="P51" s="88">
        <f t="shared" si="11"/>
        <v>0</v>
      </c>
    </row>
    <row r="52" spans="1:16" ht="26.4" x14ac:dyDescent="0.2">
      <c r="A52" s="165"/>
      <c r="B52" s="166"/>
      <c r="C52" s="167" t="s">
        <v>379</v>
      </c>
      <c r="D52" s="168"/>
      <c r="E52" s="169"/>
      <c r="F52" s="170"/>
      <c r="G52" s="171"/>
      <c r="H52" s="135"/>
      <c r="I52" s="171"/>
      <c r="J52" s="171"/>
      <c r="K52" s="171"/>
      <c r="L52" s="105"/>
      <c r="M52" s="87"/>
      <c r="N52" s="87"/>
      <c r="O52" s="87"/>
      <c r="P52" s="88"/>
    </row>
    <row r="53" spans="1:16" ht="39.6" x14ac:dyDescent="0.2">
      <c r="A53" s="189">
        <v>1</v>
      </c>
      <c r="B53" s="190" t="s">
        <v>56</v>
      </c>
      <c r="C53" s="163" t="s">
        <v>380</v>
      </c>
      <c r="D53" s="191" t="s">
        <v>60</v>
      </c>
      <c r="E53" s="132">
        <v>95</v>
      </c>
      <c r="F53" s="133"/>
      <c r="G53" s="134"/>
      <c r="H53" s="135">
        <f t="shared" si="24"/>
        <v>0</v>
      </c>
      <c r="I53" s="134"/>
      <c r="J53" s="134"/>
      <c r="K53" s="134">
        <f t="shared" ref="K53:K54" si="26">ROUND(H53+J53+I53,2)</f>
        <v>0</v>
      </c>
      <c r="L53" s="105">
        <f t="shared" si="7"/>
        <v>0</v>
      </c>
      <c r="M53" s="87">
        <f t="shared" si="8"/>
        <v>0</v>
      </c>
      <c r="N53" s="87">
        <f t="shared" si="9"/>
        <v>0</v>
      </c>
      <c r="O53" s="87">
        <f t="shared" si="10"/>
        <v>0</v>
      </c>
      <c r="P53" s="88">
        <f t="shared" si="11"/>
        <v>0</v>
      </c>
    </row>
    <row r="54" spans="1:16" ht="39.6" x14ac:dyDescent="0.2">
      <c r="A54" s="189">
        <v>2</v>
      </c>
      <c r="B54" s="190" t="s">
        <v>56</v>
      </c>
      <c r="C54" s="163" t="s">
        <v>381</v>
      </c>
      <c r="D54" s="191" t="s">
        <v>382</v>
      </c>
      <c r="E54" s="132">
        <v>114</v>
      </c>
      <c r="F54" s="133"/>
      <c r="G54" s="134"/>
      <c r="H54" s="135">
        <f t="shared" si="24"/>
        <v>0</v>
      </c>
      <c r="I54" s="134"/>
      <c r="J54" s="134"/>
      <c r="K54" s="134">
        <f t="shared" si="26"/>
        <v>0</v>
      </c>
      <c r="L54" s="105">
        <f t="shared" si="7"/>
        <v>0</v>
      </c>
      <c r="M54" s="87">
        <f t="shared" si="8"/>
        <v>0</v>
      </c>
      <c r="N54" s="87">
        <f t="shared" si="9"/>
        <v>0</v>
      </c>
      <c r="O54" s="87">
        <f t="shared" si="10"/>
        <v>0</v>
      </c>
      <c r="P54" s="88">
        <f t="shared" si="11"/>
        <v>0</v>
      </c>
    </row>
    <row r="55" spans="1:16" ht="26.4" x14ac:dyDescent="0.2">
      <c r="A55" s="165"/>
      <c r="B55" s="166"/>
      <c r="C55" s="167" t="s">
        <v>383</v>
      </c>
      <c r="D55" s="168"/>
      <c r="E55" s="169"/>
      <c r="F55" s="170"/>
      <c r="G55" s="171"/>
      <c r="H55" s="135"/>
      <c r="I55" s="171"/>
      <c r="J55" s="171"/>
      <c r="K55" s="171"/>
      <c r="L55" s="105"/>
      <c r="M55" s="87"/>
      <c r="N55" s="87"/>
      <c r="O55" s="87"/>
      <c r="P55" s="88"/>
    </row>
    <row r="56" spans="1:16" ht="13.2" x14ac:dyDescent="0.2">
      <c r="A56" s="160">
        <v>1</v>
      </c>
      <c r="B56" s="157" t="s">
        <v>56</v>
      </c>
      <c r="C56" s="192" t="s">
        <v>384</v>
      </c>
      <c r="D56" s="157" t="s">
        <v>60</v>
      </c>
      <c r="E56" s="162">
        <v>259</v>
      </c>
      <c r="F56" s="133"/>
      <c r="G56" s="134"/>
      <c r="H56" s="135">
        <f>ROUND(F56*G56,2)</f>
        <v>0</v>
      </c>
      <c r="I56" s="134"/>
      <c r="J56" s="134"/>
      <c r="K56" s="134">
        <f>ROUND(H56+J56+I56,2)</f>
        <v>0</v>
      </c>
      <c r="L56" s="105">
        <f t="shared" si="7"/>
        <v>0</v>
      </c>
      <c r="M56" s="87">
        <f t="shared" si="8"/>
        <v>0</v>
      </c>
      <c r="N56" s="87">
        <f t="shared" si="9"/>
        <v>0</v>
      </c>
      <c r="O56" s="87">
        <f t="shared" si="10"/>
        <v>0</v>
      </c>
      <c r="P56" s="88">
        <f t="shared" si="11"/>
        <v>0</v>
      </c>
    </row>
    <row r="57" spans="1:16" ht="27" thickBot="1" x14ac:dyDescent="0.25">
      <c r="A57" s="189">
        <v>2</v>
      </c>
      <c r="B57" s="190" t="s">
        <v>56</v>
      </c>
      <c r="C57" s="130" t="s">
        <v>385</v>
      </c>
      <c r="D57" s="193" t="s">
        <v>60</v>
      </c>
      <c r="E57" s="132">
        <f>E56</f>
        <v>259</v>
      </c>
      <c r="F57" s="133"/>
      <c r="G57" s="134"/>
      <c r="H57" s="135">
        <f t="shared" ref="H57" si="27">ROUND(F57*G57,2)</f>
        <v>0</v>
      </c>
      <c r="I57" s="134"/>
      <c r="J57" s="134"/>
      <c r="K57" s="134">
        <f t="shared" ref="K57" si="28">ROUND(H57+J57+I57,2)</f>
        <v>0</v>
      </c>
      <c r="L57" s="105">
        <f t="shared" si="7"/>
        <v>0</v>
      </c>
      <c r="M57" s="87">
        <f t="shared" si="8"/>
        <v>0</v>
      </c>
      <c r="N57" s="87">
        <f t="shared" si="9"/>
        <v>0</v>
      </c>
      <c r="O57" s="87">
        <f t="shared" si="10"/>
        <v>0</v>
      </c>
      <c r="P57" s="88">
        <f t="shared" si="11"/>
        <v>0</v>
      </c>
    </row>
    <row r="58" spans="1:16" ht="10.8" thickBot="1" x14ac:dyDescent="0.25">
      <c r="A58" s="282"/>
      <c r="B58" s="283"/>
      <c r="C58" s="283"/>
      <c r="D58" s="283"/>
      <c r="E58" s="283"/>
      <c r="F58" s="283"/>
      <c r="G58" s="283"/>
      <c r="H58" s="283"/>
      <c r="I58" s="283"/>
      <c r="J58" s="283"/>
      <c r="K58" s="284"/>
      <c r="L58" s="52">
        <f>SUM(L14:L57)</f>
        <v>0</v>
      </c>
      <c r="M58" s="53">
        <f>SUM(M14:M57)</f>
        <v>0</v>
      </c>
      <c r="N58" s="53">
        <f>SUM(N14:N57)</f>
        <v>0</v>
      </c>
      <c r="O58" s="53">
        <f>SUM(O14:O57)</f>
        <v>0</v>
      </c>
      <c r="P58" s="54">
        <f>SUM(P14:P57)</f>
        <v>0</v>
      </c>
    </row>
    <row r="59" spans="1:16" x14ac:dyDescent="0.2">
      <c r="A59" s="14"/>
      <c r="B59" s="101"/>
      <c r="C59" s="101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</row>
    <row r="60" spans="1:16" x14ac:dyDescent="0.2">
      <c r="A60" s="14"/>
      <c r="B60" s="101"/>
      <c r="C60" s="101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</row>
    <row r="61" spans="1:16" x14ac:dyDescent="0.2">
      <c r="A61" s="1" t="s">
        <v>18</v>
      </c>
      <c r="B61" s="101"/>
      <c r="C61" s="281">
        <f>'Kops a'!C35:H35</f>
        <v>0</v>
      </c>
      <c r="D61" s="281"/>
      <c r="E61" s="281"/>
      <c r="F61" s="281"/>
      <c r="G61" s="281"/>
      <c r="H61" s="281"/>
      <c r="I61" s="14"/>
      <c r="J61" s="14"/>
      <c r="K61" s="14"/>
      <c r="L61" s="14"/>
      <c r="M61" s="14"/>
      <c r="N61" s="14"/>
      <c r="O61" s="14"/>
      <c r="P61" s="14"/>
    </row>
    <row r="62" spans="1:16" x14ac:dyDescent="0.2">
      <c r="A62" s="14"/>
      <c r="B62" s="101"/>
      <c r="C62" s="216" t="s">
        <v>19</v>
      </c>
      <c r="D62" s="216"/>
      <c r="E62" s="216"/>
      <c r="F62" s="216"/>
      <c r="G62" s="216"/>
      <c r="H62" s="216"/>
      <c r="I62" s="14"/>
      <c r="J62" s="14"/>
      <c r="K62" s="14"/>
      <c r="L62" s="14"/>
      <c r="M62" s="14"/>
      <c r="N62" s="14"/>
      <c r="O62" s="14"/>
      <c r="P62" s="14"/>
    </row>
    <row r="63" spans="1:16" x14ac:dyDescent="0.2">
      <c r="A63" s="14"/>
      <c r="B63" s="101"/>
      <c r="C63" s="101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</row>
    <row r="64" spans="1:16" x14ac:dyDescent="0.2">
      <c r="A64" s="70" t="str">
        <f>'Kops a'!A38</f>
        <v>Tāme sastādīta</v>
      </c>
      <c r="B64" s="119"/>
      <c r="C64" s="119"/>
      <c r="D64" s="71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</row>
    <row r="65" spans="1:16" x14ac:dyDescent="0.2">
      <c r="A65" s="14"/>
      <c r="B65" s="101"/>
      <c r="C65" s="101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</row>
    <row r="66" spans="1:16" x14ac:dyDescent="0.2">
      <c r="A66" s="1" t="s">
        <v>38</v>
      </c>
      <c r="B66" s="101"/>
      <c r="C66" s="281">
        <f>'Kops a'!C40:H40</f>
        <v>0</v>
      </c>
      <c r="D66" s="281"/>
      <c r="E66" s="281"/>
      <c r="F66" s="281"/>
      <c r="G66" s="281"/>
      <c r="H66" s="281"/>
      <c r="I66" s="14"/>
      <c r="J66" s="14"/>
      <c r="K66" s="14"/>
      <c r="L66" s="14"/>
      <c r="M66" s="14"/>
      <c r="N66" s="14"/>
      <c r="O66" s="14"/>
      <c r="P66" s="14"/>
    </row>
    <row r="67" spans="1:16" x14ac:dyDescent="0.2">
      <c r="A67" s="14"/>
      <c r="B67" s="101"/>
      <c r="C67" s="216" t="s">
        <v>19</v>
      </c>
      <c r="D67" s="216"/>
      <c r="E67" s="216"/>
      <c r="F67" s="216"/>
      <c r="G67" s="216"/>
      <c r="H67" s="216"/>
      <c r="I67" s="14"/>
      <c r="J67" s="14"/>
      <c r="K67" s="14"/>
      <c r="L67" s="14"/>
      <c r="M67" s="14"/>
      <c r="N67" s="14"/>
      <c r="O67" s="14"/>
      <c r="P67" s="14"/>
    </row>
    <row r="68" spans="1:16" x14ac:dyDescent="0.2">
      <c r="A68" s="14"/>
      <c r="B68" s="101"/>
      <c r="C68" s="101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</row>
    <row r="69" spans="1:16" x14ac:dyDescent="0.2">
      <c r="A69" s="70" t="s">
        <v>84</v>
      </c>
      <c r="B69" s="119"/>
      <c r="C69" s="120">
        <f>'Kops a'!C43</f>
        <v>0</v>
      </c>
      <c r="D69" s="39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</row>
    <row r="70" spans="1:16" x14ac:dyDescent="0.2">
      <c r="A70" s="14"/>
      <c r="B70" s="101"/>
      <c r="C70" s="101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</row>
  </sheetData>
  <mergeCells count="22">
    <mergeCell ref="C67:H67"/>
    <mergeCell ref="C4:I4"/>
    <mergeCell ref="F12:K12"/>
    <mergeCell ref="A9:F9"/>
    <mergeCell ref="J9:M9"/>
    <mergeCell ref="D8:L8"/>
    <mergeCell ref="A58:K58"/>
    <mergeCell ref="C61:H61"/>
    <mergeCell ref="C62:H62"/>
    <mergeCell ref="C66:H66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9:G22 I19:J27 I36:J57 C36:C40 D36:G57 A36:B57 B23:G27 A23:A35">
    <cfRule type="cellIs" dxfId="122" priority="101" operator="equal">
      <formula>0</formula>
    </cfRule>
  </conditionalFormatting>
  <conditionalFormatting sqref="N9:O9 K19:K27 H19:H27 H36:H57 K36:K57">
    <cfRule type="cellIs" dxfId="121" priority="100" operator="equal">
      <formula>0</formula>
    </cfRule>
  </conditionalFormatting>
  <conditionalFormatting sqref="A9:F9">
    <cfRule type="containsText" dxfId="120" priority="98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19" priority="97" operator="equal">
      <formula>0</formula>
    </cfRule>
  </conditionalFormatting>
  <conditionalFormatting sqref="O10">
    <cfRule type="cellIs" dxfId="118" priority="96" operator="equal">
      <formula>"20__. gada __. _________"</formula>
    </cfRule>
  </conditionalFormatting>
  <conditionalFormatting sqref="A58:K58">
    <cfRule type="containsText" dxfId="117" priority="95" operator="containsText" text="Tiešās izmaksas kopā, t. sk. darba devēja sociālais nodoklis __.__% ">
      <formula>NOT(ISERROR(SEARCH("Tiešās izmaksas kopā, t. sk. darba devēja sociālais nodoklis __.__% ",A58)))</formula>
    </cfRule>
  </conditionalFormatting>
  <conditionalFormatting sqref="H14:H17 K14:P15 K16:K17 L16:P58">
    <cfRule type="cellIs" dxfId="116" priority="90" operator="equal">
      <formula>0</formula>
    </cfRule>
  </conditionalFormatting>
  <conditionalFormatting sqref="C4:I4">
    <cfRule type="cellIs" dxfId="115" priority="89" operator="equal">
      <formula>0</formula>
    </cfRule>
  </conditionalFormatting>
  <conditionalFormatting sqref="D5:L8">
    <cfRule type="cellIs" dxfId="114" priority="85" operator="equal">
      <formula>0</formula>
    </cfRule>
  </conditionalFormatting>
  <conditionalFormatting sqref="D14:G17 A14:B17">
    <cfRule type="cellIs" dxfId="113" priority="84" operator="equal">
      <formula>0</formula>
    </cfRule>
  </conditionalFormatting>
  <conditionalFormatting sqref="C14:C17 C42:C57">
    <cfRule type="cellIs" dxfId="112" priority="83" operator="equal">
      <formula>0</formula>
    </cfRule>
  </conditionalFormatting>
  <conditionalFormatting sqref="I14:J17">
    <cfRule type="cellIs" dxfId="111" priority="82" operator="equal">
      <formula>0</formula>
    </cfRule>
  </conditionalFormatting>
  <conditionalFormatting sqref="P10">
    <cfRule type="cellIs" dxfId="110" priority="81" operator="equal">
      <formula>"20__. gada __. _________"</formula>
    </cfRule>
  </conditionalFormatting>
  <conditionalFormatting sqref="C66:H66">
    <cfRule type="cellIs" dxfId="109" priority="78" operator="equal">
      <formula>0</formula>
    </cfRule>
  </conditionalFormatting>
  <conditionalFormatting sqref="C61:H61">
    <cfRule type="cellIs" dxfId="108" priority="77" operator="equal">
      <formula>0</formula>
    </cfRule>
  </conditionalFormatting>
  <conditionalFormatting sqref="C66:H66 C69 C61:H61">
    <cfRule type="cellIs" dxfId="107" priority="76" operator="equal">
      <formula>0</formula>
    </cfRule>
  </conditionalFormatting>
  <conditionalFormatting sqref="D1">
    <cfRule type="cellIs" dxfId="106" priority="75" operator="equal">
      <formula>0</formula>
    </cfRule>
  </conditionalFormatting>
  <conditionalFormatting sqref="C41">
    <cfRule type="cellIs" dxfId="105" priority="65" operator="equal">
      <formula>0</formula>
    </cfRule>
  </conditionalFormatting>
  <conditionalFormatting sqref="K18 H18">
    <cfRule type="cellIs" dxfId="104" priority="41" operator="equal">
      <formula>0</formula>
    </cfRule>
  </conditionalFormatting>
  <conditionalFormatting sqref="A18:B18 D18:G18">
    <cfRule type="cellIs" dxfId="103" priority="40" operator="equal">
      <formula>0</formula>
    </cfRule>
  </conditionalFormatting>
  <conditionalFormatting sqref="C18">
    <cfRule type="cellIs" dxfId="102" priority="39" operator="equal">
      <formula>0</formula>
    </cfRule>
  </conditionalFormatting>
  <conditionalFormatting sqref="I18:J18">
    <cfRule type="cellIs" dxfId="101" priority="38" operator="equal">
      <formula>0</formula>
    </cfRule>
  </conditionalFormatting>
  <conditionalFormatting sqref="C28:C35">
    <cfRule type="cellIs" dxfId="100" priority="25" operator="equal">
      <formula>0</formula>
    </cfRule>
  </conditionalFormatting>
  <conditionalFormatting sqref="I28:J35 B28:B35 D28:G35">
    <cfRule type="cellIs" dxfId="99" priority="26" operator="equal">
      <formula>0</formula>
    </cfRule>
  </conditionalFormatting>
  <conditionalFormatting sqref="H28:H35 K28:K35">
    <cfRule type="cellIs" dxfId="98" priority="27" operator="equal">
      <formula>0</formula>
    </cfRule>
  </conditionalFormatting>
  <pageMargins left="0.7" right="0.7" top="0.75" bottom="0.75" header="0.3" footer="0.3"/>
  <pageSetup paperSize="9" scale="90" orientation="landscape" r:id="rId1"/>
  <rowBreaks count="1" manualBreakCount="1">
    <brk id="54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0" operator="containsText" id="{EE428164-089A-404E-98DC-227888EB2467}">
            <xm:f>NOT(ISERROR(SEARCH("Tāme sastādīta ____. gada ___. ______________",A64)))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A64</xm:sqref>
        </x14:conditionalFormatting>
        <x14:conditionalFormatting xmlns:xm="http://schemas.microsoft.com/office/excel/2006/main">
          <x14:cfRule type="containsText" priority="79" operator="containsText" id="{879A8C95-2477-46CB-81ED-05AD5C15D29F}">
            <xm:f>NOT(ISERROR(SEARCH("Sertifikāta Nr. _________________________________",A69)))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A69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61"/>
  <sheetViews>
    <sheetView view="pageBreakPreview" zoomScaleNormal="100" zoomScaleSheetLayoutView="100" workbookViewId="0">
      <selection activeCell="D5" sqref="D5:L5"/>
    </sheetView>
  </sheetViews>
  <sheetFormatPr defaultColWidth="9.109375" defaultRowHeight="10.199999999999999" x14ac:dyDescent="0.2"/>
  <cols>
    <col min="1" max="1" width="4.5546875" style="1" customWidth="1"/>
    <col min="2" max="2" width="9.44140625" style="1" bestFit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5.44140625" style="1" bestFit="1" customWidth="1"/>
    <col min="8" max="9" width="6.33203125" style="1" bestFit="1" customWidth="1"/>
    <col min="10" max="10" width="5.44140625" style="1" bestFit="1" customWidth="1"/>
    <col min="11" max="12" width="6.33203125" style="1" bestFit="1" customWidth="1"/>
    <col min="13" max="14" width="7.6640625" style="1" customWidth="1"/>
    <col min="15" max="15" width="6.33203125" style="1" bestFit="1" customWidth="1"/>
    <col min="16" max="16" width="9" style="1" customWidth="1"/>
    <col min="17" max="16384" width="9.109375" style="1"/>
  </cols>
  <sheetData>
    <row r="1" spans="1:16" x14ac:dyDescent="0.2">
      <c r="A1" s="19"/>
      <c r="B1" s="19"/>
      <c r="C1" s="23" t="s">
        <v>39</v>
      </c>
      <c r="D1" s="40">
        <f>'Kops a'!A22</f>
        <v>0</v>
      </c>
      <c r="E1" s="19"/>
      <c r="F1" s="19"/>
      <c r="G1" s="19"/>
      <c r="H1" s="19"/>
      <c r="I1" s="19"/>
      <c r="J1" s="19"/>
      <c r="N1" s="22"/>
      <c r="O1" s="23"/>
      <c r="P1" s="24"/>
    </row>
    <row r="2" spans="1:16" x14ac:dyDescent="0.2">
      <c r="A2" s="25"/>
      <c r="B2" s="25"/>
      <c r="C2" s="264" t="s">
        <v>386</v>
      </c>
      <c r="D2" s="264"/>
      <c r="E2" s="264"/>
      <c r="F2" s="264"/>
      <c r="G2" s="264"/>
      <c r="H2" s="264"/>
      <c r="I2" s="264"/>
      <c r="J2" s="25"/>
    </row>
    <row r="3" spans="1:16" x14ac:dyDescent="0.2">
      <c r="A3" s="26"/>
      <c r="B3" s="26"/>
      <c r="C3" s="225" t="s">
        <v>23</v>
      </c>
      <c r="D3" s="225"/>
      <c r="E3" s="225"/>
      <c r="F3" s="225"/>
      <c r="G3" s="225"/>
      <c r="H3" s="225"/>
      <c r="I3" s="225"/>
      <c r="J3" s="26"/>
    </row>
    <row r="4" spans="1:16" x14ac:dyDescent="0.2">
      <c r="A4" s="26"/>
      <c r="B4" s="26"/>
      <c r="C4" s="265" t="s">
        <v>5</v>
      </c>
      <c r="D4" s="265"/>
      <c r="E4" s="265"/>
      <c r="F4" s="265"/>
      <c r="G4" s="265"/>
      <c r="H4" s="265"/>
      <c r="I4" s="265"/>
      <c r="J4" s="26"/>
    </row>
    <row r="5" spans="1:16" x14ac:dyDescent="0.2">
      <c r="A5" s="19"/>
      <c r="B5" s="19"/>
      <c r="C5" s="23" t="s">
        <v>6</v>
      </c>
      <c r="D5" s="278" t="str">
        <f>'Kops a'!D6</f>
        <v>DAUDZDZĪVOKĻU DZĪVOJAMĀ ĒKA</v>
      </c>
      <c r="E5" s="278"/>
      <c r="F5" s="278"/>
      <c r="G5" s="278"/>
      <c r="H5" s="278"/>
      <c r="I5" s="278"/>
      <c r="J5" s="278"/>
      <c r="K5" s="278"/>
      <c r="L5" s="278"/>
      <c r="M5" s="14"/>
      <c r="N5" s="14"/>
      <c r="O5" s="14"/>
      <c r="P5" s="14"/>
    </row>
    <row r="6" spans="1:16" x14ac:dyDescent="0.2">
      <c r="A6" s="19"/>
      <c r="B6" s="19"/>
      <c r="C6" s="23" t="s">
        <v>8</v>
      </c>
      <c r="D6" s="278" t="str">
        <f>'Kops a'!D7</f>
        <v>ENERGOEFEKTIVITĀTES PAAUGSTINĀŠANA DAUDZDZĪVOKĻU DZĪVOJAMAI ĒKAI</v>
      </c>
      <c r="E6" s="278"/>
      <c r="F6" s="278"/>
      <c r="G6" s="278"/>
      <c r="H6" s="278"/>
      <c r="I6" s="278"/>
      <c r="J6" s="278"/>
      <c r="K6" s="278"/>
      <c r="L6" s="278"/>
      <c r="M6" s="14"/>
      <c r="N6" s="14"/>
      <c r="O6" s="14"/>
      <c r="P6" s="14"/>
    </row>
    <row r="7" spans="1:16" x14ac:dyDescent="0.2">
      <c r="A7" s="19"/>
      <c r="B7" s="19"/>
      <c r="C7" s="23" t="s">
        <v>10</v>
      </c>
      <c r="D7" s="278" t="str">
        <f>'Kops a'!D8</f>
        <v>Mātera iela 23/25, Jelgava, ēkas kad. apz. 0900 001 0126 001</v>
      </c>
      <c r="E7" s="278"/>
      <c r="F7" s="278"/>
      <c r="G7" s="278"/>
      <c r="H7" s="278"/>
      <c r="I7" s="278"/>
      <c r="J7" s="278"/>
      <c r="K7" s="278"/>
      <c r="L7" s="278"/>
      <c r="M7" s="14"/>
      <c r="N7" s="14"/>
      <c r="O7" s="14"/>
      <c r="P7" s="14"/>
    </row>
    <row r="8" spans="1:16" x14ac:dyDescent="0.2">
      <c r="A8" s="19"/>
      <c r="B8" s="19"/>
      <c r="C8" s="210" t="s">
        <v>26</v>
      </c>
      <c r="D8" s="278">
        <f>'Kops a'!D9</f>
        <v>0</v>
      </c>
      <c r="E8" s="278"/>
      <c r="F8" s="278"/>
      <c r="G8" s="278"/>
      <c r="H8" s="278"/>
      <c r="I8" s="278"/>
      <c r="J8" s="278"/>
      <c r="K8" s="278"/>
      <c r="L8" s="278"/>
      <c r="M8" s="14"/>
      <c r="N8" s="14"/>
      <c r="O8" s="14"/>
      <c r="P8" s="14"/>
    </row>
    <row r="9" spans="1:16" ht="11.25" customHeight="1" x14ac:dyDescent="0.2">
      <c r="A9" s="266" t="s">
        <v>86</v>
      </c>
      <c r="B9" s="266"/>
      <c r="C9" s="266"/>
      <c r="D9" s="266"/>
      <c r="E9" s="266"/>
      <c r="F9" s="266"/>
      <c r="G9" s="27"/>
      <c r="H9" s="27"/>
      <c r="I9" s="27"/>
      <c r="J9" s="270" t="s">
        <v>42</v>
      </c>
      <c r="K9" s="270"/>
      <c r="L9" s="270"/>
      <c r="M9" s="270"/>
      <c r="N9" s="277">
        <f>P49</f>
        <v>0</v>
      </c>
      <c r="O9" s="277"/>
      <c r="P9" s="27"/>
    </row>
    <row r="10" spans="1:16" x14ac:dyDescent="0.2">
      <c r="A10" s="28"/>
      <c r="B10" s="29"/>
      <c r="C10" s="210"/>
      <c r="D10" s="19"/>
      <c r="E10" s="19"/>
      <c r="F10" s="19"/>
      <c r="G10" s="19"/>
      <c r="H10" s="19"/>
      <c r="I10" s="19"/>
      <c r="J10" s="19"/>
      <c r="K10" s="19"/>
      <c r="L10" s="25"/>
      <c r="M10" s="25"/>
      <c r="O10" s="73"/>
      <c r="P10" s="72" t="str">
        <f>A55</f>
        <v>Tāme sastādīta</v>
      </c>
    </row>
    <row r="11" spans="1:16" ht="10.8" thickBot="1" x14ac:dyDescent="0.25">
      <c r="A11" s="28"/>
      <c r="B11" s="29"/>
      <c r="C11" s="210"/>
      <c r="D11" s="19"/>
      <c r="E11" s="19"/>
      <c r="F11" s="19"/>
      <c r="G11" s="19"/>
      <c r="H11" s="19"/>
      <c r="I11" s="19"/>
      <c r="J11" s="19"/>
      <c r="K11" s="19"/>
      <c r="L11" s="30"/>
      <c r="M11" s="30"/>
      <c r="N11" s="31"/>
      <c r="O11" s="22"/>
      <c r="P11" s="19"/>
    </row>
    <row r="12" spans="1:16" x14ac:dyDescent="0.2">
      <c r="A12" s="236" t="s">
        <v>29</v>
      </c>
      <c r="B12" s="272" t="s">
        <v>43</v>
      </c>
      <c r="C12" s="268" t="s">
        <v>44</v>
      </c>
      <c r="D12" s="275" t="s">
        <v>45</v>
      </c>
      <c r="E12" s="279" t="s">
        <v>46</v>
      </c>
      <c r="F12" s="267" t="s">
        <v>47</v>
      </c>
      <c r="G12" s="268"/>
      <c r="H12" s="268"/>
      <c r="I12" s="268"/>
      <c r="J12" s="268"/>
      <c r="K12" s="269"/>
      <c r="L12" s="267" t="s">
        <v>48</v>
      </c>
      <c r="M12" s="268"/>
      <c r="N12" s="268"/>
      <c r="O12" s="268"/>
      <c r="P12" s="269"/>
    </row>
    <row r="13" spans="1:16" ht="126.75" customHeight="1" thickBot="1" x14ac:dyDescent="0.25">
      <c r="A13" s="271"/>
      <c r="B13" s="273"/>
      <c r="C13" s="274"/>
      <c r="D13" s="276"/>
      <c r="E13" s="280"/>
      <c r="F13" s="214" t="s">
        <v>49</v>
      </c>
      <c r="G13" s="215" t="s">
        <v>50</v>
      </c>
      <c r="H13" s="215" t="s">
        <v>51</v>
      </c>
      <c r="I13" s="215" t="s">
        <v>52</v>
      </c>
      <c r="J13" s="215" t="s">
        <v>53</v>
      </c>
      <c r="K13" s="51" t="s">
        <v>54</v>
      </c>
      <c r="L13" s="214" t="s">
        <v>49</v>
      </c>
      <c r="M13" s="215" t="s">
        <v>51</v>
      </c>
      <c r="N13" s="215" t="s">
        <v>52</v>
      </c>
      <c r="O13" s="215" t="s">
        <v>53</v>
      </c>
      <c r="P13" s="51" t="s">
        <v>54</v>
      </c>
    </row>
    <row r="14" spans="1:16" ht="13.2" x14ac:dyDescent="0.2">
      <c r="A14" s="121"/>
      <c r="B14" s="122"/>
      <c r="C14" s="123" t="s">
        <v>387</v>
      </c>
      <c r="D14" s="124"/>
      <c r="E14" s="125"/>
      <c r="F14" s="126"/>
      <c r="G14" s="127"/>
      <c r="H14" s="127"/>
      <c r="I14" s="127"/>
      <c r="J14" s="127"/>
      <c r="K14" s="127"/>
      <c r="L14" s="107"/>
      <c r="M14" s="93"/>
      <c r="N14" s="93"/>
      <c r="O14" s="110"/>
      <c r="P14" s="111"/>
    </row>
    <row r="15" spans="1:16" ht="13.2" x14ac:dyDescent="0.2">
      <c r="A15" s="160">
        <v>1</v>
      </c>
      <c r="B15" s="157" t="s">
        <v>56</v>
      </c>
      <c r="C15" s="161" t="s">
        <v>388</v>
      </c>
      <c r="D15" s="157" t="s">
        <v>70</v>
      </c>
      <c r="E15" s="162">
        <v>892</v>
      </c>
      <c r="F15" s="133"/>
      <c r="G15" s="134"/>
      <c r="H15" s="135">
        <f>ROUND(F15*G15,2)</f>
        <v>0</v>
      </c>
      <c r="I15" s="134"/>
      <c r="J15" s="134"/>
      <c r="K15" s="134">
        <f t="shared" ref="K15:K20" si="0">ROUND(H15+J15+I15,2)</f>
        <v>0</v>
      </c>
      <c r="L15" s="105">
        <f t="shared" ref="L15" si="1">ROUND(E15*F15,2)</f>
        <v>0</v>
      </c>
      <c r="M15" s="87">
        <f t="shared" ref="M15" si="2">ROUND(E15*H15,2)</f>
        <v>0</v>
      </c>
      <c r="N15" s="87">
        <f t="shared" ref="N15" si="3">ROUND(E15*I15,2)</f>
        <v>0</v>
      </c>
      <c r="O15" s="87">
        <f t="shared" ref="O15" si="4">ROUND(E15*J15,2)</f>
        <v>0</v>
      </c>
      <c r="P15" s="88">
        <f t="shared" ref="P15" si="5">ROUND(O15+N15+M15,2)</f>
        <v>0</v>
      </c>
    </row>
    <row r="16" spans="1:16" ht="13.2" x14ac:dyDescent="0.2">
      <c r="A16" s="160">
        <v>2</v>
      </c>
      <c r="B16" s="157" t="s">
        <v>56</v>
      </c>
      <c r="C16" s="161" t="s">
        <v>389</v>
      </c>
      <c r="D16" s="157" t="s">
        <v>70</v>
      </c>
      <c r="E16" s="162">
        <f>E15</f>
        <v>892</v>
      </c>
      <c r="F16" s="133"/>
      <c r="G16" s="134"/>
      <c r="H16" s="135">
        <f>ROUND(F16*G16,2)</f>
        <v>0</v>
      </c>
      <c r="I16" s="134"/>
      <c r="J16" s="134"/>
      <c r="K16" s="134">
        <f t="shared" si="0"/>
        <v>0</v>
      </c>
      <c r="L16" s="105">
        <f t="shared" ref="L16:L48" si="6">ROUND(E16*F16,2)</f>
        <v>0</v>
      </c>
      <c r="M16" s="87">
        <f t="shared" ref="M16:M48" si="7">ROUND(E16*H16,2)</f>
        <v>0</v>
      </c>
      <c r="N16" s="87">
        <f t="shared" ref="N16:N48" si="8">ROUND(E16*I16,2)</f>
        <v>0</v>
      </c>
      <c r="O16" s="87">
        <f t="shared" ref="O16:O48" si="9">ROUND(E16*J16,2)</f>
        <v>0</v>
      </c>
      <c r="P16" s="88">
        <f t="shared" ref="P16:P48" si="10">ROUND(O16+N16+M16,2)</f>
        <v>0</v>
      </c>
    </row>
    <row r="17" spans="1:16" ht="13.2" x14ac:dyDescent="0.2">
      <c r="A17" s="160">
        <v>3</v>
      </c>
      <c r="B17" s="157"/>
      <c r="C17" s="164" t="s">
        <v>390</v>
      </c>
      <c r="D17" s="157" t="s">
        <v>70</v>
      </c>
      <c r="E17" s="186">
        <f>E16*1.2</f>
        <v>1070.3999999999999</v>
      </c>
      <c r="F17" s="133"/>
      <c r="G17" s="134"/>
      <c r="H17" s="135"/>
      <c r="I17" s="134"/>
      <c r="J17" s="134"/>
      <c r="K17" s="134">
        <f t="shared" si="0"/>
        <v>0</v>
      </c>
      <c r="L17" s="105">
        <f t="shared" si="6"/>
        <v>0</v>
      </c>
      <c r="M17" s="87">
        <f t="shared" si="7"/>
        <v>0</v>
      </c>
      <c r="N17" s="87">
        <f t="shared" si="8"/>
        <v>0</v>
      </c>
      <c r="O17" s="87">
        <f t="shared" si="9"/>
        <v>0</v>
      </c>
      <c r="P17" s="88">
        <f t="shared" si="10"/>
        <v>0</v>
      </c>
    </row>
    <row r="18" spans="1:16" ht="13.2" x14ac:dyDescent="0.2">
      <c r="A18" s="160">
        <v>4</v>
      </c>
      <c r="B18" s="157"/>
      <c r="C18" s="164" t="s">
        <v>391</v>
      </c>
      <c r="D18" s="157" t="s">
        <v>58</v>
      </c>
      <c r="E18" s="186">
        <f>E16*0.7</f>
        <v>624.4</v>
      </c>
      <c r="F18" s="133"/>
      <c r="G18" s="134"/>
      <c r="H18" s="135"/>
      <c r="I18" s="134"/>
      <c r="J18" s="134"/>
      <c r="K18" s="134">
        <f t="shared" si="0"/>
        <v>0</v>
      </c>
      <c r="L18" s="105">
        <f t="shared" si="6"/>
        <v>0</v>
      </c>
      <c r="M18" s="87">
        <f t="shared" si="7"/>
        <v>0</v>
      </c>
      <c r="N18" s="87">
        <f t="shared" si="8"/>
        <v>0</v>
      </c>
      <c r="O18" s="87">
        <f t="shared" si="9"/>
        <v>0</v>
      </c>
      <c r="P18" s="88">
        <f t="shared" si="10"/>
        <v>0</v>
      </c>
    </row>
    <row r="19" spans="1:16" ht="39.6" x14ac:dyDescent="0.2">
      <c r="A19" s="160">
        <v>5</v>
      </c>
      <c r="B19" s="157" t="s">
        <v>56</v>
      </c>
      <c r="C19" s="161" t="s">
        <v>392</v>
      </c>
      <c r="D19" s="157" t="s">
        <v>70</v>
      </c>
      <c r="E19" s="162">
        <f>E15</f>
        <v>892</v>
      </c>
      <c r="F19" s="133"/>
      <c r="G19" s="134"/>
      <c r="H19" s="135">
        <f t="shared" ref="H19:H37" si="11">ROUND(F19*G19,2)</f>
        <v>0</v>
      </c>
      <c r="I19" s="134"/>
      <c r="J19" s="134"/>
      <c r="K19" s="134">
        <f t="shared" si="0"/>
        <v>0</v>
      </c>
      <c r="L19" s="105">
        <f t="shared" si="6"/>
        <v>0</v>
      </c>
      <c r="M19" s="87">
        <f t="shared" si="7"/>
        <v>0</v>
      </c>
      <c r="N19" s="87">
        <f t="shared" si="8"/>
        <v>0</v>
      </c>
      <c r="O19" s="87">
        <f t="shared" si="9"/>
        <v>0</v>
      </c>
      <c r="P19" s="88">
        <f t="shared" si="10"/>
        <v>0</v>
      </c>
    </row>
    <row r="20" spans="1:16" ht="26.4" x14ac:dyDescent="0.2">
      <c r="A20" s="160">
        <v>6</v>
      </c>
      <c r="B20" s="157"/>
      <c r="C20" s="164" t="s">
        <v>393</v>
      </c>
      <c r="D20" s="157" t="s">
        <v>105</v>
      </c>
      <c r="E20" s="162">
        <f>E19*0.32*1.02</f>
        <v>291.14879999999999</v>
      </c>
      <c r="F20" s="133"/>
      <c r="G20" s="134"/>
      <c r="H20" s="135"/>
      <c r="I20" s="134"/>
      <c r="J20" s="134"/>
      <c r="K20" s="134">
        <f t="shared" si="0"/>
        <v>0</v>
      </c>
      <c r="L20" s="105">
        <f t="shared" si="6"/>
        <v>0</v>
      </c>
      <c r="M20" s="87">
        <f t="shared" si="7"/>
        <v>0</v>
      </c>
      <c r="N20" s="87">
        <f t="shared" si="8"/>
        <v>0</v>
      </c>
      <c r="O20" s="87">
        <f t="shared" si="9"/>
        <v>0</v>
      </c>
      <c r="P20" s="88">
        <f t="shared" si="10"/>
        <v>0</v>
      </c>
    </row>
    <row r="21" spans="1:16" ht="13.2" x14ac:dyDescent="0.2">
      <c r="A21" s="137"/>
      <c r="B21" s="138"/>
      <c r="C21" s="139" t="s">
        <v>394</v>
      </c>
      <c r="D21" s="140"/>
      <c r="E21" s="141"/>
      <c r="F21" s="142"/>
      <c r="G21" s="134"/>
      <c r="H21" s="135"/>
      <c r="I21" s="143"/>
      <c r="J21" s="143"/>
      <c r="K21" s="143"/>
      <c r="L21" s="105"/>
      <c r="M21" s="87"/>
      <c r="N21" s="87"/>
      <c r="O21" s="87"/>
      <c r="P21" s="88"/>
    </row>
    <row r="22" spans="1:16" ht="13.2" x14ac:dyDescent="0.2">
      <c r="A22" s="160">
        <v>1</v>
      </c>
      <c r="B22" s="157" t="s">
        <v>56</v>
      </c>
      <c r="C22" s="161" t="s">
        <v>395</v>
      </c>
      <c r="D22" s="157" t="s">
        <v>58</v>
      </c>
      <c r="E22" s="186">
        <v>120.6</v>
      </c>
      <c r="F22" s="133"/>
      <c r="G22" s="134"/>
      <c r="H22" s="135">
        <f t="shared" ref="H22" si="12">ROUND(F22*G22,2)</f>
        <v>0</v>
      </c>
      <c r="I22" s="134"/>
      <c r="J22" s="134"/>
      <c r="K22" s="134">
        <f>ROUND(H22+J22+I22,2)</f>
        <v>0</v>
      </c>
      <c r="L22" s="105">
        <f t="shared" si="6"/>
        <v>0</v>
      </c>
      <c r="M22" s="87">
        <f t="shared" si="7"/>
        <v>0</v>
      </c>
      <c r="N22" s="87">
        <f t="shared" si="8"/>
        <v>0</v>
      </c>
      <c r="O22" s="87">
        <f t="shared" si="9"/>
        <v>0</v>
      </c>
      <c r="P22" s="88">
        <f t="shared" si="10"/>
        <v>0</v>
      </c>
    </row>
    <row r="23" spans="1:16" ht="13.2" x14ac:dyDescent="0.2">
      <c r="A23" s="160">
        <v>2</v>
      </c>
      <c r="B23" s="157"/>
      <c r="C23" s="164" t="s">
        <v>396</v>
      </c>
      <c r="D23" s="157" t="s">
        <v>105</v>
      </c>
      <c r="E23" s="194">
        <f>E22*0.02*1.15</f>
        <v>2.7737999999999996</v>
      </c>
      <c r="F23" s="133"/>
      <c r="G23" s="134"/>
      <c r="H23" s="135"/>
      <c r="I23" s="134"/>
      <c r="J23" s="134"/>
      <c r="K23" s="134">
        <f>ROUND(H23+J23+I23,2)</f>
        <v>0</v>
      </c>
      <c r="L23" s="105">
        <f t="shared" si="6"/>
        <v>0</v>
      </c>
      <c r="M23" s="87">
        <f t="shared" si="7"/>
        <v>0</v>
      </c>
      <c r="N23" s="87">
        <f t="shared" si="8"/>
        <v>0</v>
      </c>
      <c r="O23" s="87">
        <f t="shared" si="9"/>
        <v>0</v>
      </c>
      <c r="P23" s="88">
        <f t="shared" si="10"/>
        <v>0</v>
      </c>
    </row>
    <row r="24" spans="1:16" ht="13.2" x14ac:dyDescent="0.2">
      <c r="A24" s="160">
        <v>3</v>
      </c>
      <c r="B24" s="157"/>
      <c r="C24" s="164" t="s">
        <v>397</v>
      </c>
      <c r="D24" s="157" t="s">
        <v>105</v>
      </c>
      <c r="E24" s="194">
        <f>E22*0.0058*1.15</f>
        <v>0.80440199999999984</v>
      </c>
      <c r="F24" s="133"/>
      <c r="G24" s="134"/>
      <c r="H24" s="135"/>
      <c r="I24" s="134"/>
      <c r="J24" s="134"/>
      <c r="K24" s="134">
        <f>ROUND(H24+J24+I24,2)</f>
        <v>0</v>
      </c>
      <c r="L24" s="105">
        <f t="shared" si="6"/>
        <v>0</v>
      </c>
      <c r="M24" s="87">
        <f t="shared" si="7"/>
        <v>0</v>
      </c>
      <c r="N24" s="87">
        <f t="shared" si="8"/>
        <v>0</v>
      </c>
      <c r="O24" s="87">
        <f t="shared" si="9"/>
        <v>0</v>
      </c>
      <c r="P24" s="88">
        <f t="shared" si="10"/>
        <v>0</v>
      </c>
    </row>
    <row r="25" spans="1:16" ht="13.2" x14ac:dyDescent="0.2">
      <c r="A25" s="160">
        <v>4</v>
      </c>
      <c r="B25" s="157"/>
      <c r="C25" s="164" t="s">
        <v>398</v>
      </c>
      <c r="D25" s="157" t="s">
        <v>70</v>
      </c>
      <c r="E25" s="186">
        <f>E22*1.1*1.13</f>
        <v>149.90579999999997</v>
      </c>
      <c r="F25" s="133"/>
      <c r="G25" s="134"/>
      <c r="H25" s="135"/>
      <c r="I25" s="134"/>
      <c r="J25" s="134"/>
      <c r="K25" s="134">
        <f>ROUND(H25+J25+I25,2)</f>
        <v>0</v>
      </c>
      <c r="L25" s="105">
        <f t="shared" si="6"/>
        <v>0</v>
      </c>
      <c r="M25" s="87">
        <f t="shared" si="7"/>
        <v>0</v>
      </c>
      <c r="N25" s="87">
        <f t="shared" si="8"/>
        <v>0</v>
      </c>
      <c r="O25" s="87">
        <f t="shared" si="9"/>
        <v>0</v>
      </c>
      <c r="P25" s="88">
        <f t="shared" si="10"/>
        <v>0</v>
      </c>
    </row>
    <row r="26" spans="1:16" ht="13.2" x14ac:dyDescent="0.2">
      <c r="A26" s="160">
        <v>5</v>
      </c>
      <c r="B26" s="157"/>
      <c r="C26" s="164" t="s">
        <v>399</v>
      </c>
      <c r="D26" s="157" t="s">
        <v>62</v>
      </c>
      <c r="E26" s="162">
        <f>ROUND(E22*40+E23*400+E24*400,0)</f>
        <v>6255</v>
      </c>
      <c r="F26" s="133"/>
      <c r="G26" s="134"/>
      <c r="H26" s="135"/>
      <c r="I26" s="134"/>
      <c r="J26" s="134"/>
      <c r="K26" s="134">
        <f t="shared" ref="K26" si="13">ROUND(H26+J26+I26,2)</f>
        <v>0</v>
      </c>
      <c r="L26" s="105">
        <f t="shared" si="6"/>
        <v>0</v>
      </c>
      <c r="M26" s="87">
        <f t="shared" si="7"/>
        <v>0</v>
      </c>
      <c r="N26" s="87">
        <f t="shared" si="8"/>
        <v>0</v>
      </c>
      <c r="O26" s="87">
        <f t="shared" si="9"/>
        <v>0</v>
      </c>
      <c r="P26" s="88">
        <f t="shared" si="10"/>
        <v>0</v>
      </c>
    </row>
    <row r="27" spans="1:16" ht="13.2" x14ac:dyDescent="0.2">
      <c r="A27" s="160">
        <v>6</v>
      </c>
      <c r="B27" s="157"/>
      <c r="C27" s="164" t="s">
        <v>400</v>
      </c>
      <c r="D27" s="157" t="s">
        <v>58</v>
      </c>
      <c r="E27" s="162">
        <f>E22</f>
        <v>120.6</v>
      </c>
      <c r="F27" s="133"/>
      <c r="G27" s="134"/>
      <c r="H27" s="135"/>
      <c r="I27" s="134"/>
      <c r="J27" s="134"/>
      <c r="K27" s="134">
        <f>ROUND(H27+J27+I27,2)</f>
        <v>0</v>
      </c>
      <c r="L27" s="105">
        <f t="shared" si="6"/>
        <v>0</v>
      </c>
      <c r="M27" s="87">
        <f t="shared" si="7"/>
        <v>0</v>
      </c>
      <c r="N27" s="87">
        <f t="shared" si="8"/>
        <v>0</v>
      </c>
      <c r="O27" s="87">
        <f t="shared" si="9"/>
        <v>0</v>
      </c>
      <c r="P27" s="88">
        <f t="shared" si="10"/>
        <v>0</v>
      </c>
    </row>
    <row r="28" spans="1:16" ht="13.2" x14ac:dyDescent="0.2">
      <c r="A28" s="160">
        <v>7</v>
      </c>
      <c r="B28" s="157" t="s">
        <v>56</v>
      </c>
      <c r="C28" s="161" t="s">
        <v>401</v>
      </c>
      <c r="D28" s="157" t="s">
        <v>58</v>
      </c>
      <c r="E28" s="186">
        <v>13</v>
      </c>
      <c r="F28" s="133"/>
      <c r="G28" s="134"/>
      <c r="H28" s="135">
        <f t="shared" ref="H28" si="14">ROUND(F28*G28,2)</f>
        <v>0</v>
      </c>
      <c r="I28" s="134"/>
      <c r="J28" s="134"/>
      <c r="K28" s="134">
        <f t="shared" ref="K28" si="15">ROUND(H28+J28+I28,2)</f>
        <v>0</v>
      </c>
      <c r="L28" s="105">
        <f t="shared" si="6"/>
        <v>0</v>
      </c>
      <c r="M28" s="87">
        <f t="shared" si="7"/>
        <v>0</v>
      </c>
      <c r="N28" s="87">
        <f t="shared" si="8"/>
        <v>0</v>
      </c>
      <c r="O28" s="87">
        <f t="shared" si="9"/>
        <v>0</v>
      </c>
      <c r="P28" s="88">
        <f t="shared" si="10"/>
        <v>0</v>
      </c>
    </row>
    <row r="29" spans="1:16" ht="13.2" x14ac:dyDescent="0.2">
      <c r="A29" s="160">
        <v>8</v>
      </c>
      <c r="B29" s="157"/>
      <c r="C29" s="164" t="s">
        <v>396</v>
      </c>
      <c r="D29" s="157" t="s">
        <v>105</v>
      </c>
      <c r="E29" s="194">
        <f>E28*0.021*1.15</f>
        <v>0.31395000000000001</v>
      </c>
      <c r="F29" s="133"/>
      <c r="G29" s="134"/>
      <c r="H29" s="135"/>
      <c r="I29" s="134"/>
      <c r="J29" s="134"/>
      <c r="K29" s="134">
        <f>ROUND(H29+J29+I29,2)</f>
        <v>0</v>
      </c>
      <c r="L29" s="105">
        <f t="shared" si="6"/>
        <v>0</v>
      </c>
      <c r="M29" s="87">
        <f t="shared" si="7"/>
        <v>0</v>
      </c>
      <c r="N29" s="87">
        <f t="shared" si="8"/>
        <v>0</v>
      </c>
      <c r="O29" s="87">
        <f t="shared" si="9"/>
        <v>0</v>
      </c>
      <c r="P29" s="88">
        <f t="shared" si="10"/>
        <v>0</v>
      </c>
    </row>
    <row r="30" spans="1:16" ht="13.2" x14ac:dyDescent="0.2">
      <c r="A30" s="160">
        <v>9</v>
      </c>
      <c r="B30" s="157"/>
      <c r="C30" s="164" t="s">
        <v>397</v>
      </c>
      <c r="D30" s="157" t="s">
        <v>105</v>
      </c>
      <c r="E30" s="194">
        <f>0.008*E28*1.15</f>
        <v>0.1196</v>
      </c>
      <c r="F30" s="133"/>
      <c r="G30" s="134"/>
      <c r="H30" s="135"/>
      <c r="I30" s="134"/>
      <c r="J30" s="134"/>
      <c r="K30" s="134">
        <f t="shared" ref="K30:K32" si="16">ROUND(H30+J30+I30,2)</f>
        <v>0</v>
      </c>
      <c r="L30" s="105">
        <f t="shared" si="6"/>
        <v>0</v>
      </c>
      <c r="M30" s="87">
        <f t="shared" si="7"/>
        <v>0</v>
      </c>
      <c r="N30" s="87">
        <f t="shared" si="8"/>
        <v>0</v>
      </c>
      <c r="O30" s="87">
        <f t="shared" si="9"/>
        <v>0</v>
      </c>
      <c r="P30" s="88">
        <f t="shared" si="10"/>
        <v>0</v>
      </c>
    </row>
    <row r="31" spans="1:16" ht="13.2" x14ac:dyDescent="0.2">
      <c r="A31" s="160">
        <v>10</v>
      </c>
      <c r="B31" s="157"/>
      <c r="C31" s="164" t="s">
        <v>398</v>
      </c>
      <c r="D31" s="157" t="s">
        <v>70</v>
      </c>
      <c r="E31" s="186">
        <f>E28*1.1*1.6</f>
        <v>22.880000000000003</v>
      </c>
      <c r="F31" s="133"/>
      <c r="G31" s="134"/>
      <c r="H31" s="135"/>
      <c r="I31" s="134"/>
      <c r="J31" s="134"/>
      <c r="K31" s="134">
        <f t="shared" si="16"/>
        <v>0</v>
      </c>
      <c r="L31" s="105">
        <f t="shared" si="6"/>
        <v>0</v>
      </c>
      <c r="M31" s="87">
        <f t="shared" si="7"/>
        <v>0</v>
      </c>
      <c r="N31" s="87">
        <f t="shared" si="8"/>
        <v>0</v>
      </c>
      <c r="O31" s="87">
        <f t="shared" si="9"/>
        <v>0</v>
      </c>
      <c r="P31" s="88">
        <f t="shared" si="10"/>
        <v>0</v>
      </c>
    </row>
    <row r="32" spans="1:16" ht="13.2" x14ac:dyDescent="0.2">
      <c r="A32" s="160">
        <v>11</v>
      </c>
      <c r="B32" s="157"/>
      <c r="C32" s="164" t="s">
        <v>399</v>
      </c>
      <c r="D32" s="157" t="s">
        <v>62</v>
      </c>
      <c r="E32" s="162">
        <f>ROUND(E28*40*1.2+E29*400+E30*400,0)</f>
        <v>797</v>
      </c>
      <c r="F32" s="133"/>
      <c r="G32" s="134"/>
      <c r="H32" s="135"/>
      <c r="I32" s="134"/>
      <c r="J32" s="134"/>
      <c r="K32" s="134">
        <f t="shared" si="16"/>
        <v>0</v>
      </c>
      <c r="L32" s="105">
        <f t="shared" si="6"/>
        <v>0</v>
      </c>
      <c r="M32" s="87">
        <f t="shared" si="7"/>
        <v>0</v>
      </c>
      <c r="N32" s="87">
        <f t="shared" si="8"/>
        <v>0</v>
      </c>
      <c r="O32" s="87">
        <f t="shared" si="9"/>
        <v>0</v>
      </c>
      <c r="P32" s="88">
        <f t="shared" si="10"/>
        <v>0</v>
      </c>
    </row>
    <row r="33" spans="1:16" ht="13.2" x14ac:dyDescent="0.2">
      <c r="A33" s="160">
        <v>12</v>
      </c>
      <c r="B33" s="157"/>
      <c r="C33" s="164" t="s">
        <v>400</v>
      </c>
      <c r="D33" s="157" t="s">
        <v>58</v>
      </c>
      <c r="E33" s="162">
        <f>E28</f>
        <v>13</v>
      </c>
      <c r="F33" s="133"/>
      <c r="G33" s="134"/>
      <c r="H33" s="135"/>
      <c r="I33" s="134"/>
      <c r="J33" s="134"/>
      <c r="K33" s="134">
        <f>ROUND(H33+J33+I33,2)</f>
        <v>0</v>
      </c>
      <c r="L33" s="105">
        <f t="shared" si="6"/>
        <v>0</v>
      </c>
      <c r="M33" s="87">
        <f t="shared" si="7"/>
        <v>0</v>
      </c>
      <c r="N33" s="87">
        <f t="shared" si="8"/>
        <v>0</v>
      </c>
      <c r="O33" s="87">
        <f t="shared" si="9"/>
        <v>0</v>
      </c>
      <c r="P33" s="88">
        <f t="shared" si="10"/>
        <v>0</v>
      </c>
    </row>
    <row r="34" spans="1:16" ht="39.6" x14ac:dyDescent="0.2">
      <c r="A34" s="160">
        <v>13</v>
      </c>
      <c r="B34" s="157" t="s">
        <v>56</v>
      </c>
      <c r="C34" s="163" t="s">
        <v>402</v>
      </c>
      <c r="D34" s="157" t="s">
        <v>60</v>
      </c>
      <c r="E34" s="162">
        <v>5</v>
      </c>
      <c r="F34" s="133"/>
      <c r="G34" s="134"/>
      <c r="H34" s="135">
        <f t="shared" ref="H34" si="17">ROUND(F34*G34,2)</f>
        <v>0</v>
      </c>
      <c r="I34" s="134"/>
      <c r="J34" s="134"/>
      <c r="K34" s="134">
        <f>ROUND(H34+J34+I34,2)</f>
        <v>0</v>
      </c>
      <c r="L34" s="105">
        <f t="shared" si="6"/>
        <v>0</v>
      </c>
      <c r="M34" s="87">
        <f t="shared" si="7"/>
        <v>0</v>
      </c>
      <c r="N34" s="87">
        <f t="shared" si="8"/>
        <v>0</v>
      </c>
      <c r="O34" s="87">
        <f t="shared" si="9"/>
        <v>0</v>
      </c>
      <c r="P34" s="88">
        <f t="shared" si="10"/>
        <v>0</v>
      </c>
    </row>
    <row r="35" spans="1:16" ht="29.25" customHeight="1" x14ac:dyDescent="0.2">
      <c r="A35" s="137"/>
      <c r="B35" s="138"/>
      <c r="C35" s="139" t="s">
        <v>403</v>
      </c>
      <c r="D35" s="140"/>
      <c r="E35" s="141"/>
      <c r="F35" s="142"/>
      <c r="G35" s="134"/>
      <c r="H35" s="135"/>
      <c r="I35" s="143"/>
      <c r="J35" s="143"/>
      <c r="K35" s="143"/>
      <c r="L35" s="105"/>
      <c r="M35" s="87"/>
      <c r="N35" s="87"/>
      <c r="O35" s="87"/>
      <c r="P35" s="88"/>
    </row>
    <row r="36" spans="1:16" ht="39.6" x14ac:dyDescent="0.2">
      <c r="A36" s="160">
        <v>1</v>
      </c>
      <c r="B36" s="157" t="s">
        <v>56</v>
      </c>
      <c r="C36" s="163" t="s">
        <v>404</v>
      </c>
      <c r="D36" s="157" t="s">
        <v>62</v>
      </c>
      <c r="E36" s="186">
        <v>5</v>
      </c>
      <c r="F36" s="133"/>
      <c r="G36" s="134"/>
      <c r="H36" s="135">
        <f t="shared" si="11"/>
        <v>0</v>
      </c>
      <c r="I36" s="134"/>
      <c r="J36" s="134"/>
      <c r="K36" s="134">
        <f>ROUND(H36+J36+I36,2)</f>
        <v>0</v>
      </c>
      <c r="L36" s="105">
        <f t="shared" si="6"/>
        <v>0</v>
      </c>
      <c r="M36" s="87">
        <f t="shared" si="7"/>
        <v>0</v>
      </c>
      <c r="N36" s="87">
        <f t="shared" si="8"/>
        <v>0</v>
      </c>
      <c r="O36" s="87">
        <f t="shared" si="9"/>
        <v>0</v>
      </c>
      <c r="P36" s="88">
        <f t="shared" si="10"/>
        <v>0</v>
      </c>
    </row>
    <row r="37" spans="1:16" ht="13.2" x14ac:dyDescent="0.2">
      <c r="A37" s="160">
        <v>2</v>
      </c>
      <c r="B37" s="157" t="s">
        <v>56</v>
      </c>
      <c r="C37" s="163" t="s">
        <v>405</v>
      </c>
      <c r="D37" s="157" t="s">
        <v>60</v>
      </c>
      <c r="E37" s="162">
        <v>5</v>
      </c>
      <c r="F37" s="133"/>
      <c r="G37" s="134"/>
      <c r="H37" s="135">
        <f t="shared" si="11"/>
        <v>0</v>
      </c>
      <c r="I37" s="134"/>
      <c r="J37" s="134"/>
      <c r="K37" s="134">
        <f>ROUND(H37+J37+I37,2)</f>
        <v>0</v>
      </c>
      <c r="L37" s="105">
        <f t="shared" si="6"/>
        <v>0</v>
      </c>
      <c r="M37" s="87">
        <f t="shared" si="7"/>
        <v>0</v>
      </c>
      <c r="N37" s="87">
        <f t="shared" si="8"/>
        <v>0</v>
      </c>
      <c r="O37" s="87">
        <f t="shared" si="9"/>
        <v>0</v>
      </c>
      <c r="P37" s="88">
        <f t="shared" si="10"/>
        <v>0</v>
      </c>
    </row>
    <row r="38" spans="1:16" ht="13.2" x14ac:dyDescent="0.2">
      <c r="A38" s="160">
        <v>3</v>
      </c>
      <c r="B38" s="157"/>
      <c r="C38" s="164" t="s">
        <v>406</v>
      </c>
      <c r="D38" s="157" t="s">
        <v>105</v>
      </c>
      <c r="E38" s="194">
        <f>40*0.05*0.05*1.15</f>
        <v>0.11499999999999999</v>
      </c>
      <c r="F38" s="133"/>
      <c r="G38" s="134"/>
      <c r="H38" s="135"/>
      <c r="I38" s="134"/>
      <c r="J38" s="134"/>
      <c r="K38" s="134">
        <f>ROUND(H38+J38+I38,2)</f>
        <v>0</v>
      </c>
      <c r="L38" s="105">
        <f t="shared" si="6"/>
        <v>0</v>
      </c>
      <c r="M38" s="87">
        <f t="shared" si="7"/>
        <v>0</v>
      </c>
      <c r="N38" s="87">
        <f t="shared" si="8"/>
        <v>0</v>
      </c>
      <c r="O38" s="87">
        <f t="shared" si="9"/>
        <v>0</v>
      </c>
      <c r="P38" s="88">
        <f t="shared" si="10"/>
        <v>0</v>
      </c>
    </row>
    <row r="39" spans="1:16" ht="13.2" x14ac:dyDescent="0.2">
      <c r="A39" s="160">
        <v>4</v>
      </c>
      <c r="B39" s="157"/>
      <c r="C39" s="164" t="s">
        <v>407</v>
      </c>
      <c r="D39" s="157" t="s">
        <v>105</v>
      </c>
      <c r="E39" s="194">
        <f>10*0.05*0.05*1.15</f>
        <v>2.8749999999999998E-2</v>
      </c>
      <c r="F39" s="133"/>
      <c r="G39" s="134"/>
      <c r="H39" s="135"/>
      <c r="I39" s="134"/>
      <c r="J39" s="134"/>
      <c r="K39" s="134">
        <f>ROUND(H39+J39+I39,2)</f>
        <v>0</v>
      </c>
      <c r="L39" s="105">
        <f t="shared" si="6"/>
        <v>0</v>
      </c>
      <c r="M39" s="87">
        <f t="shared" si="7"/>
        <v>0</v>
      </c>
      <c r="N39" s="87">
        <f t="shared" si="8"/>
        <v>0</v>
      </c>
      <c r="O39" s="87">
        <f t="shared" si="9"/>
        <v>0</v>
      </c>
      <c r="P39" s="88">
        <f t="shared" si="10"/>
        <v>0</v>
      </c>
    </row>
    <row r="40" spans="1:16" ht="13.2" x14ac:dyDescent="0.2">
      <c r="A40" s="160">
        <v>5</v>
      </c>
      <c r="B40" s="157"/>
      <c r="C40" s="164" t="s">
        <v>398</v>
      </c>
      <c r="D40" s="157" t="s">
        <v>70</v>
      </c>
      <c r="E40" s="186">
        <f>63*0.1*1.15</f>
        <v>7.2450000000000001</v>
      </c>
      <c r="F40" s="133"/>
      <c r="G40" s="134"/>
      <c r="H40" s="135"/>
      <c r="I40" s="134"/>
      <c r="J40" s="134"/>
      <c r="K40" s="134">
        <f>ROUND(H40+J40+I40,2)</f>
        <v>0</v>
      </c>
      <c r="L40" s="105">
        <f t="shared" si="6"/>
        <v>0</v>
      </c>
      <c r="M40" s="87">
        <f t="shared" si="7"/>
        <v>0</v>
      </c>
      <c r="N40" s="87">
        <f t="shared" si="8"/>
        <v>0</v>
      </c>
      <c r="O40" s="87">
        <f t="shared" si="9"/>
        <v>0</v>
      </c>
      <c r="P40" s="88">
        <f t="shared" si="10"/>
        <v>0</v>
      </c>
    </row>
    <row r="41" spans="1:16" ht="13.2" x14ac:dyDescent="0.2">
      <c r="A41" s="160">
        <v>6</v>
      </c>
      <c r="B41" s="157"/>
      <c r="C41" s="164" t="s">
        <v>399</v>
      </c>
      <c r="D41" s="157" t="s">
        <v>62</v>
      </c>
      <c r="E41" s="162">
        <f>ROUND(E37*40+E38*400+E39*400,0)</f>
        <v>258</v>
      </c>
      <c r="F41" s="133"/>
      <c r="G41" s="134"/>
      <c r="H41" s="135"/>
      <c r="I41" s="134"/>
      <c r="J41" s="134"/>
      <c r="K41" s="134">
        <f t="shared" ref="K41:K43" si="18">ROUND(H41+J41+I41,2)</f>
        <v>0</v>
      </c>
      <c r="L41" s="105">
        <f t="shared" si="6"/>
        <v>0</v>
      </c>
      <c r="M41" s="87">
        <f t="shared" si="7"/>
        <v>0</v>
      </c>
      <c r="N41" s="87">
        <f t="shared" si="8"/>
        <v>0</v>
      </c>
      <c r="O41" s="87">
        <f t="shared" si="9"/>
        <v>0</v>
      </c>
      <c r="P41" s="88">
        <f t="shared" si="10"/>
        <v>0</v>
      </c>
    </row>
    <row r="42" spans="1:16" ht="13.2" x14ac:dyDescent="0.2">
      <c r="A42" s="160">
        <v>7</v>
      </c>
      <c r="B42" s="157"/>
      <c r="C42" s="164" t="s">
        <v>408</v>
      </c>
      <c r="D42" s="157" t="s">
        <v>62</v>
      </c>
      <c r="E42" s="162">
        <v>10</v>
      </c>
      <c r="F42" s="133"/>
      <c r="G42" s="134"/>
      <c r="H42" s="135"/>
      <c r="I42" s="134"/>
      <c r="J42" s="134"/>
      <c r="K42" s="134">
        <f t="shared" si="18"/>
        <v>0</v>
      </c>
      <c r="L42" s="105">
        <f t="shared" si="6"/>
        <v>0</v>
      </c>
      <c r="M42" s="87">
        <f t="shared" si="7"/>
        <v>0</v>
      </c>
      <c r="N42" s="87">
        <f t="shared" si="8"/>
        <v>0</v>
      </c>
      <c r="O42" s="87">
        <f t="shared" si="9"/>
        <v>0</v>
      </c>
      <c r="P42" s="88">
        <f t="shared" si="10"/>
        <v>0</v>
      </c>
    </row>
    <row r="43" spans="1:16" ht="26.4" x14ac:dyDescent="0.2">
      <c r="A43" s="160">
        <v>8</v>
      </c>
      <c r="B43" s="157"/>
      <c r="C43" s="164" t="s">
        <v>409</v>
      </c>
      <c r="D43" s="157" t="s">
        <v>60</v>
      </c>
      <c r="E43" s="162">
        <v>5</v>
      </c>
      <c r="F43" s="133"/>
      <c r="G43" s="134"/>
      <c r="H43" s="135"/>
      <c r="I43" s="134"/>
      <c r="J43" s="134"/>
      <c r="K43" s="134">
        <f t="shared" si="18"/>
        <v>0</v>
      </c>
      <c r="L43" s="105">
        <f t="shared" si="6"/>
        <v>0</v>
      </c>
      <c r="M43" s="87">
        <f t="shared" si="7"/>
        <v>0</v>
      </c>
      <c r="N43" s="87">
        <f t="shared" si="8"/>
        <v>0</v>
      </c>
      <c r="O43" s="87">
        <f t="shared" si="9"/>
        <v>0</v>
      </c>
      <c r="P43" s="88">
        <f t="shared" si="10"/>
        <v>0</v>
      </c>
    </row>
    <row r="44" spans="1:16" ht="13.2" x14ac:dyDescent="0.2">
      <c r="A44" s="160">
        <v>9</v>
      </c>
      <c r="B44" s="157"/>
      <c r="C44" s="164" t="s">
        <v>400</v>
      </c>
      <c r="D44" s="157" t="s">
        <v>58</v>
      </c>
      <c r="E44" s="162">
        <f>E37</f>
        <v>5</v>
      </c>
      <c r="F44" s="133"/>
      <c r="G44" s="134"/>
      <c r="H44" s="135"/>
      <c r="I44" s="134"/>
      <c r="J44" s="134"/>
      <c r="K44" s="134">
        <f>ROUND(H44+J44+I44,2)</f>
        <v>0</v>
      </c>
      <c r="L44" s="105">
        <f t="shared" si="6"/>
        <v>0</v>
      </c>
      <c r="M44" s="87">
        <f t="shared" si="7"/>
        <v>0</v>
      </c>
      <c r="N44" s="87">
        <f t="shared" si="8"/>
        <v>0</v>
      </c>
      <c r="O44" s="87">
        <f t="shared" si="9"/>
        <v>0</v>
      </c>
      <c r="P44" s="88">
        <f t="shared" si="10"/>
        <v>0</v>
      </c>
    </row>
    <row r="45" spans="1:16" ht="13.2" x14ac:dyDescent="0.2">
      <c r="A45" s="160">
        <v>10</v>
      </c>
      <c r="B45" s="190" t="s">
        <v>56</v>
      </c>
      <c r="C45" s="163" t="s">
        <v>410</v>
      </c>
      <c r="D45" s="191" t="s">
        <v>70</v>
      </c>
      <c r="E45" s="132">
        <v>4.5</v>
      </c>
      <c r="F45" s="133"/>
      <c r="G45" s="134"/>
      <c r="H45" s="135">
        <f t="shared" ref="H45" si="19">ROUND(F45*G45,2)</f>
        <v>0</v>
      </c>
      <c r="I45" s="134"/>
      <c r="J45" s="134"/>
      <c r="K45" s="134">
        <f t="shared" ref="K45" si="20">ROUND(H45+J45+I45,2)</f>
        <v>0</v>
      </c>
      <c r="L45" s="105">
        <f t="shared" si="6"/>
        <v>0</v>
      </c>
      <c r="M45" s="87">
        <f t="shared" si="7"/>
        <v>0</v>
      </c>
      <c r="N45" s="87">
        <f t="shared" si="8"/>
        <v>0</v>
      </c>
      <c r="O45" s="87">
        <f t="shared" si="9"/>
        <v>0</v>
      </c>
      <c r="P45" s="88">
        <f t="shared" si="10"/>
        <v>0</v>
      </c>
    </row>
    <row r="46" spans="1:16" ht="26.4" x14ac:dyDescent="0.2">
      <c r="A46" s="137"/>
      <c r="B46" s="138"/>
      <c r="C46" s="139" t="s">
        <v>411</v>
      </c>
      <c r="D46" s="140"/>
      <c r="E46" s="141"/>
      <c r="F46" s="142"/>
      <c r="G46" s="134"/>
      <c r="H46" s="135"/>
      <c r="I46" s="143"/>
      <c r="J46" s="143"/>
      <c r="K46" s="143"/>
      <c r="L46" s="105"/>
      <c r="M46" s="87"/>
      <c r="N46" s="87"/>
      <c r="O46" s="87"/>
      <c r="P46" s="88"/>
    </row>
    <row r="47" spans="1:16" ht="79.2" x14ac:dyDescent="0.2">
      <c r="A47" s="160">
        <v>1</v>
      </c>
      <c r="B47" s="157" t="s">
        <v>56</v>
      </c>
      <c r="C47" s="161" t="s">
        <v>412</v>
      </c>
      <c r="D47" s="157" t="s">
        <v>60</v>
      </c>
      <c r="E47" s="186">
        <v>15</v>
      </c>
      <c r="F47" s="133"/>
      <c r="G47" s="134"/>
      <c r="H47" s="135">
        <f t="shared" ref="H47:H48" si="21">ROUND(F47*G47,2)</f>
        <v>0</v>
      </c>
      <c r="I47" s="134"/>
      <c r="J47" s="134"/>
      <c r="K47" s="134">
        <f t="shared" ref="K47:K48" si="22">ROUND(H47+J47+I47,2)</f>
        <v>0</v>
      </c>
      <c r="L47" s="105">
        <f t="shared" si="6"/>
        <v>0</v>
      </c>
      <c r="M47" s="87">
        <f t="shared" si="7"/>
        <v>0</v>
      </c>
      <c r="N47" s="87">
        <f t="shared" si="8"/>
        <v>0</v>
      </c>
      <c r="O47" s="87">
        <f t="shared" si="9"/>
        <v>0</v>
      </c>
      <c r="P47" s="88">
        <f t="shared" si="10"/>
        <v>0</v>
      </c>
    </row>
    <row r="48" spans="1:16" ht="13.8" thickBot="1" x14ac:dyDescent="0.25">
      <c r="A48" s="160">
        <v>2</v>
      </c>
      <c r="B48" s="157" t="s">
        <v>56</v>
      </c>
      <c r="C48" s="161" t="s">
        <v>413</v>
      </c>
      <c r="D48" s="157" t="s">
        <v>60</v>
      </c>
      <c r="E48" s="186">
        <v>1</v>
      </c>
      <c r="F48" s="133"/>
      <c r="G48" s="134"/>
      <c r="H48" s="135">
        <f t="shared" si="21"/>
        <v>0</v>
      </c>
      <c r="I48" s="134"/>
      <c r="J48" s="134"/>
      <c r="K48" s="134">
        <f t="shared" si="22"/>
        <v>0</v>
      </c>
      <c r="L48" s="105">
        <f t="shared" si="6"/>
        <v>0</v>
      </c>
      <c r="M48" s="87">
        <f t="shared" si="7"/>
        <v>0</v>
      </c>
      <c r="N48" s="87">
        <f t="shared" si="8"/>
        <v>0</v>
      </c>
      <c r="O48" s="87">
        <f t="shared" si="9"/>
        <v>0</v>
      </c>
      <c r="P48" s="88">
        <f t="shared" si="10"/>
        <v>0</v>
      </c>
    </row>
    <row r="49" spans="1:16" ht="10.8" thickBot="1" x14ac:dyDescent="0.25">
      <c r="A49" s="282"/>
      <c r="B49" s="283"/>
      <c r="C49" s="283"/>
      <c r="D49" s="283"/>
      <c r="E49" s="283"/>
      <c r="F49" s="283"/>
      <c r="G49" s="283"/>
      <c r="H49" s="283"/>
      <c r="I49" s="283"/>
      <c r="J49" s="283"/>
      <c r="K49" s="284"/>
      <c r="L49" s="52">
        <f>SUM(L14:L48)</f>
        <v>0</v>
      </c>
      <c r="M49" s="53">
        <f>SUM(M14:M48)</f>
        <v>0</v>
      </c>
      <c r="N49" s="53">
        <f>SUM(N14:N48)</f>
        <v>0</v>
      </c>
      <c r="O49" s="53">
        <f>SUM(O14:O48)</f>
        <v>0</v>
      </c>
      <c r="P49" s="54">
        <f>SUM(P14:P48)</f>
        <v>0</v>
      </c>
    </row>
    <row r="50" spans="1:16" x14ac:dyDescent="0.2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</row>
    <row r="51" spans="1:16" x14ac:dyDescent="0.2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</row>
    <row r="52" spans="1:16" x14ac:dyDescent="0.2">
      <c r="A52" s="1" t="s">
        <v>18</v>
      </c>
      <c r="B52" s="14"/>
      <c r="C52" s="281">
        <f>'Kops a'!C35:H35</f>
        <v>0</v>
      </c>
      <c r="D52" s="281"/>
      <c r="E52" s="281"/>
      <c r="F52" s="281"/>
      <c r="G52" s="281"/>
      <c r="H52" s="281"/>
      <c r="I52" s="14"/>
      <c r="J52" s="14"/>
      <c r="K52" s="14"/>
      <c r="L52" s="14"/>
      <c r="M52" s="14"/>
      <c r="N52" s="14"/>
      <c r="O52" s="14"/>
      <c r="P52" s="14"/>
    </row>
    <row r="53" spans="1:16" x14ac:dyDescent="0.2">
      <c r="A53" s="14"/>
      <c r="B53" s="14"/>
      <c r="C53" s="216" t="s">
        <v>19</v>
      </c>
      <c r="D53" s="216"/>
      <c r="E53" s="216"/>
      <c r="F53" s="216"/>
      <c r="G53" s="216"/>
      <c r="H53" s="216"/>
      <c r="I53" s="14"/>
      <c r="J53" s="14"/>
      <c r="K53" s="14"/>
      <c r="L53" s="14"/>
      <c r="M53" s="14"/>
      <c r="N53" s="14"/>
      <c r="O53" s="14"/>
      <c r="P53" s="14"/>
    </row>
    <row r="54" spans="1:16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</row>
    <row r="55" spans="1:16" x14ac:dyDescent="0.2">
      <c r="A55" s="70" t="str">
        <f>'Kops a'!A38</f>
        <v>Tāme sastādīta</v>
      </c>
      <c r="B55" s="71"/>
      <c r="C55" s="71"/>
      <c r="D55" s="71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</row>
    <row r="56" spans="1:16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</row>
    <row r="57" spans="1:16" x14ac:dyDescent="0.2">
      <c r="A57" s="1" t="s">
        <v>38</v>
      </c>
      <c r="B57" s="14"/>
      <c r="C57" s="281">
        <f>'Kops a'!C40:H40</f>
        <v>0</v>
      </c>
      <c r="D57" s="281"/>
      <c r="E57" s="281"/>
      <c r="F57" s="281"/>
      <c r="G57" s="281"/>
      <c r="H57" s="281"/>
      <c r="I57" s="14"/>
      <c r="J57" s="14"/>
      <c r="K57" s="14"/>
      <c r="L57" s="14"/>
      <c r="M57" s="14"/>
      <c r="N57" s="14"/>
      <c r="O57" s="14"/>
      <c r="P57" s="14"/>
    </row>
    <row r="58" spans="1:16" x14ac:dyDescent="0.2">
      <c r="A58" s="14"/>
      <c r="B58" s="14"/>
      <c r="C58" s="216" t="s">
        <v>19</v>
      </c>
      <c r="D58" s="216"/>
      <c r="E58" s="216"/>
      <c r="F58" s="216"/>
      <c r="G58" s="216"/>
      <c r="H58" s="216"/>
      <c r="I58" s="14"/>
      <c r="J58" s="14"/>
      <c r="K58" s="14"/>
      <c r="L58" s="14"/>
      <c r="M58" s="14"/>
      <c r="N58" s="14"/>
      <c r="O58" s="14"/>
      <c r="P58" s="14"/>
    </row>
    <row r="59" spans="1:16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</row>
    <row r="60" spans="1:16" x14ac:dyDescent="0.2">
      <c r="A60" s="70" t="s">
        <v>84</v>
      </c>
      <c r="B60" s="71"/>
      <c r="C60" s="75">
        <f>'Kops a'!C43</f>
        <v>0</v>
      </c>
      <c r="D60" s="39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</row>
    <row r="61" spans="1:16" x14ac:dyDescent="0.2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</row>
  </sheetData>
  <mergeCells count="22">
    <mergeCell ref="D7:L7"/>
    <mergeCell ref="C2:I2"/>
    <mergeCell ref="C3:I3"/>
    <mergeCell ref="C4:I4"/>
    <mergeCell ref="D5:L5"/>
    <mergeCell ref="D6:L6"/>
    <mergeCell ref="C58:H58"/>
    <mergeCell ref="D8:L8"/>
    <mergeCell ref="A9:F9"/>
    <mergeCell ref="J9:M9"/>
    <mergeCell ref="N9:O9"/>
    <mergeCell ref="A12:A13"/>
    <mergeCell ref="B12:B13"/>
    <mergeCell ref="C12:C13"/>
    <mergeCell ref="D12:D13"/>
    <mergeCell ref="E12:E13"/>
    <mergeCell ref="F12:K12"/>
    <mergeCell ref="L12:P12"/>
    <mergeCell ref="A49:K49"/>
    <mergeCell ref="C52:H52"/>
    <mergeCell ref="C53:H53"/>
    <mergeCell ref="C57:H57"/>
  </mergeCells>
  <conditionalFormatting sqref="D14:G48 C34:C48 I14:J48 A14:B48">
    <cfRule type="cellIs" dxfId="95" priority="62" operator="equal">
      <formula>0</formula>
    </cfRule>
  </conditionalFormatting>
  <conditionalFormatting sqref="N9:O9 H14:H48 K14:P48">
    <cfRule type="cellIs" dxfId="94" priority="61" operator="equal">
      <formula>0</formula>
    </cfRule>
  </conditionalFormatting>
  <conditionalFormatting sqref="A9:F9">
    <cfRule type="containsText" dxfId="93" priority="60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92" priority="59" operator="equal">
      <formula>0</formula>
    </cfRule>
  </conditionalFormatting>
  <conditionalFormatting sqref="O10">
    <cfRule type="cellIs" dxfId="91" priority="58" operator="equal">
      <formula>"20__. gada __. _________"</formula>
    </cfRule>
  </conditionalFormatting>
  <conditionalFormatting sqref="A49:K49">
    <cfRule type="containsText" dxfId="90" priority="57" operator="containsText" text="Tiešās izmaksas kopā, t. sk. darba devēja sociālais nodoklis __.__% ">
      <formula>NOT(ISERROR(SEARCH("Tiešās izmaksas kopā, t. sk. darba devēja sociālais nodoklis __.__% ",A49)))</formula>
    </cfRule>
  </conditionalFormatting>
  <conditionalFormatting sqref="L49:P49">
    <cfRule type="cellIs" dxfId="89" priority="56" operator="equal">
      <formula>0</formula>
    </cfRule>
  </conditionalFormatting>
  <conditionalFormatting sqref="C4:I4">
    <cfRule type="cellIs" dxfId="88" priority="55" operator="equal">
      <formula>0</formula>
    </cfRule>
  </conditionalFormatting>
  <conditionalFormatting sqref="D5:L8">
    <cfRule type="cellIs" dxfId="87" priority="54" operator="equal">
      <formula>0</formula>
    </cfRule>
  </conditionalFormatting>
  <conditionalFormatting sqref="C14:C32">
    <cfRule type="cellIs" dxfId="86" priority="52" operator="equal">
      <formula>0</formula>
    </cfRule>
  </conditionalFormatting>
  <conditionalFormatting sqref="P10">
    <cfRule type="cellIs" dxfId="85" priority="50" operator="equal">
      <formula>"20__. gada __. _________"</formula>
    </cfRule>
  </conditionalFormatting>
  <conditionalFormatting sqref="C57:H57">
    <cfRule type="cellIs" dxfId="84" priority="47" operator="equal">
      <formula>0</formula>
    </cfRule>
  </conditionalFormatting>
  <conditionalFormatting sqref="C52:H52">
    <cfRule type="cellIs" dxfId="83" priority="46" operator="equal">
      <formula>0</formula>
    </cfRule>
  </conditionalFormatting>
  <conditionalFormatting sqref="C57:H57 C60 C52:H52">
    <cfRule type="cellIs" dxfId="82" priority="45" operator="equal">
      <formula>0</formula>
    </cfRule>
  </conditionalFormatting>
  <conditionalFormatting sqref="D1">
    <cfRule type="cellIs" dxfId="81" priority="44" operator="equal">
      <formula>0</formula>
    </cfRule>
  </conditionalFormatting>
  <conditionalFormatting sqref="C33">
    <cfRule type="cellIs" dxfId="80" priority="34" operator="equal">
      <formula>0</formula>
    </cfRule>
  </conditionalFormatting>
  <pageMargins left="0.7" right="0.7" top="0.75" bottom="0.75" header="0.3" footer="0.3"/>
  <pageSetup paperSize="9" scale="94" fitToHeight="0" orientation="landscape" r:id="rId1"/>
  <rowBreaks count="1" manualBreakCount="1">
    <brk id="31" max="15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9" operator="containsText" id="{9C802224-88E9-4EAE-8F88-220EE5A70C60}">
            <xm:f>NOT(ISERROR(SEARCH("Tāme sastādīta ____. gada ___. ______________",A55)))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A55</xm:sqref>
        </x14:conditionalFormatting>
        <x14:conditionalFormatting xmlns:xm="http://schemas.microsoft.com/office/excel/2006/main">
          <x14:cfRule type="containsText" priority="48" operator="containsText" id="{4DF81B3C-DE84-41BF-8B9C-99585D359D83}">
            <xm:f>NOT(ISERROR(SEARCH("Sertifikāta Nr. _________________________________",A60)))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A60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Y46"/>
  <sheetViews>
    <sheetView view="pageBreakPreview" zoomScaleNormal="100" zoomScaleSheetLayoutView="100" workbookViewId="0">
      <selection activeCell="D5" sqref="D5:L5"/>
    </sheetView>
  </sheetViews>
  <sheetFormatPr defaultColWidth="9.109375" defaultRowHeight="10.199999999999999" x14ac:dyDescent="0.2"/>
  <cols>
    <col min="1" max="1" width="4.5546875" style="1" customWidth="1"/>
    <col min="2" max="2" width="9.44140625" style="1" bestFit="1" customWidth="1"/>
    <col min="3" max="3" width="38.44140625" style="1" customWidth="1"/>
    <col min="4" max="4" width="5.88671875" style="1" customWidth="1"/>
    <col min="5" max="5" width="8.6640625" style="1" customWidth="1"/>
    <col min="6" max="6" width="4.44140625" style="1" bestFit="1" customWidth="1"/>
    <col min="7" max="9" width="5.44140625" style="1" bestFit="1" customWidth="1"/>
    <col min="10" max="10" width="4.44140625" style="1" bestFit="1" customWidth="1"/>
    <col min="11" max="11" width="5.44140625" style="1" bestFit="1" customWidth="1"/>
    <col min="12" max="12" width="6.33203125" style="1" bestFit="1" customWidth="1"/>
    <col min="13" max="13" width="7.6640625" style="1" customWidth="1"/>
    <col min="14" max="14" width="6.5546875" style="1" bestFit="1" customWidth="1"/>
    <col min="15" max="15" width="6.33203125" style="1" bestFit="1" customWidth="1"/>
    <col min="16" max="16" width="9" style="1" customWidth="1"/>
    <col min="17" max="16384" width="9.109375" style="1"/>
  </cols>
  <sheetData>
    <row r="1" spans="1:25" x14ac:dyDescent="0.2">
      <c r="A1" s="19"/>
      <c r="B1" s="19"/>
      <c r="C1" s="23" t="s">
        <v>39</v>
      </c>
      <c r="D1" s="40">
        <f>'Kops a'!A24</f>
        <v>0</v>
      </c>
      <c r="E1" s="19"/>
      <c r="F1" s="19"/>
      <c r="G1" s="19"/>
      <c r="H1" s="19"/>
      <c r="I1" s="19"/>
      <c r="J1" s="19"/>
      <c r="N1" s="22"/>
      <c r="O1" s="23"/>
      <c r="P1" s="24"/>
    </row>
    <row r="2" spans="1:25" x14ac:dyDescent="0.2">
      <c r="A2" s="25"/>
      <c r="B2" s="25"/>
      <c r="C2" s="264" t="s">
        <v>414</v>
      </c>
      <c r="D2" s="264"/>
      <c r="E2" s="264"/>
      <c r="F2" s="264"/>
      <c r="G2" s="264"/>
      <c r="H2" s="264"/>
      <c r="I2" s="264"/>
      <c r="J2" s="25"/>
    </row>
    <row r="3" spans="1:25" x14ac:dyDescent="0.2">
      <c r="A3" s="26"/>
      <c r="B3" s="26"/>
      <c r="C3" s="225" t="s">
        <v>23</v>
      </c>
      <c r="D3" s="225"/>
      <c r="E3" s="225"/>
      <c r="F3" s="225"/>
      <c r="G3" s="225"/>
      <c r="H3" s="225"/>
      <c r="I3" s="225"/>
      <c r="J3" s="26"/>
    </row>
    <row r="4" spans="1:25" x14ac:dyDescent="0.2">
      <c r="A4" s="26"/>
      <c r="B4" s="26"/>
      <c r="C4" s="265" t="s">
        <v>5</v>
      </c>
      <c r="D4" s="265"/>
      <c r="E4" s="265"/>
      <c r="F4" s="265"/>
      <c r="G4" s="265"/>
      <c r="H4" s="265"/>
      <c r="I4" s="265"/>
      <c r="J4" s="26"/>
    </row>
    <row r="5" spans="1:25" x14ac:dyDescent="0.2">
      <c r="A5" s="19"/>
      <c r="B5" s="19"/>
      <c r="C5" s="23" t="s">
        <v>6</v>
      </c>
      <c r="D5" s="278" t="str">
        <f>'Kops a'!D6</f>
        <v>DAUDZDZĪVOKĻU DZĪVOJAMĀ ĒKA</v>
      </c>
      <c r="E5" s="278"/>
      <c r="F5" s="278"/>
      <c r="G5" s="278"/>
      <c r="H5" s="278"/>
      <c r="I5" s="278"/>
      <c r="J5" s="278"/>
      <c r="K5" s="278"/>
      <c r="L5" s="278"/>
      <c r="M5" s="14"/>
      <c r="N5" s="14"/>
      <c r="O5" s="14"/>
      <c r="P5" s="14"/>
    </row>
    <row r="6" spans="1:25" x14ac:dyDescent="0.2">
      <c r="A6" s="19"/>
      <c r="B6" s="19"/>
      <c r="C6" s="23" t="s">
        <v>8</v>
      </c>
      <c r="D6" s="278" t="str">
        <f>'Kops a'!D7</f>
        <v>ENERGOEFEKTIVITĀTES PAAUGSTINĀŠANA DAUDZDZĪVOKĻU DZĪVOJAMAI ĒKAI</v>
      </c>
      <c r="E6" s="278"/>
      <c r="F6" s="278"/>
      <c r="G6" s="278"/>
      <c r="H6" s="278"/>
      <c r="I6" s="278"/>
      <c r="J6" s="278"/>
      <c r="K6" s="278"/>
      <c r="L6" s="278"/>
      <c r="M6" s="14"/>
      <c r="N6" s="14"/>
      <c r="O6" s="14"/>
      <c r="P6" s="14"/>
    </row>
    <row r="7" spans="1:25" x14ac:dyDescent="0.2">
      <c r="A7" s="19"/>
      <c r="B7" s="19"/>
      <c r="C7" s="23" t="s">
        <v>10</v>
      </c>
      <c r="D7" s="278" t="str">
        <f>'Kops a'!D8</f>
        <v>Mātera iela 23/25, Jelgava, ēkas kad. apz. 0900 001 0126 001</v>
      </c>
      <c r="E7" s="278"/>
      <c r="F7" s="278"/>
      <c r="G7" s="278"/>
      <c r="H7" s="278"/>
      <c r="I7" s="278"/>
      <c r="J7" s="278"/>
      <c r="K7" s="278"/>
      <c r="L7" s="278"/>
      <c r="M7" s="14"/>
      <c r="N7" s="14"/>
      <c r="O7" s="14"/>
      <c r="P7" s="14"/>
    </row>
    <row r="8" spans="1:25" x14ac:dyDescent="0.2">
      <c r="A8" s="19"/>
      <c r="B8" s="19"/>
      <c r="C8" s="210" t="s">
        <v>26</v>
      </c>
      <c r="D8" s="278">
        <f>'Kops a'!D9</f>
        <v>0</v>
      </c>
      <c r="E8" s="278"/>
      <c r="F8" s="278"/>
      <c r="G8" s="278"/>
      <c r="H8" s="278"/>
      <c r="I8" s="278"/>
      <c r="J8" s="278"/>
      <c r="K8" s="278"/>
      <c r="L8" s="278"/>
      <c r="M8" s="14"/>
      <c r="N8" s="14"/>
      <c r="O8" s="14"/>
      <c r="P8" s="14"/>
    </row>
    <row r="9" spans="1:25" ht="11.25" customHeight="1" x14ac:dyDescent="0.2">
      <c r="A9" s="266" t="s">
        <v>415</v>
      </c>
      <c r="B9" s="266"/>
      <c r="C9" s="266"/>
      <c r="D9" s="266"/>
      <c r="E9" s="266"/>
      <c r="F9" s="266"/>
      <c r="G9" s="27"/>
      <c r="H9" s="27"/>
      <c r="I9" s="27"/>
      <c r="J9" s="270" t="s">
        <v>42</v>
      </c>
      <c r="K9" s="270"/>
      <c r="L9" s="270"/>
      <c r="M9" s="270"/>
      <c r="N9" s="277">
        <f>P34</f>
        <v>0</v>
      </c>
      <c r="O9" s="277"/>
      <c r="P9" s="27"/>
    </row>
    <row r="10" spans="1:25" x14ac:dyDescent="0.2">
      <c r="A10" s="28"/>
      <c r="B10" s="29"/>
      <c r="C10" s="210"/>
      <c r="D10" s="19"/>
      <c r="E10" s="19"/>
      <c r="F10" s="19"/>
      <c r="G10" s="19"/>
      <c r="H10" s="19"/>
      <c r="I10" s="19"/>
      <c r="J10" s="19"/>
      <c r="K10" s="19"/>
      <c r="L10" s="25"/>
      <c r="M10" s="25"/>
      <c r="O10" s="73"/>
      <c r="P10" s="72" t="str">
        <f>A40</f>
        <v>Tāme sastādīta</v>
      </c>
    </row>
    <row r="11" spans="1:25" ht="10.8" thickBot="1" x14ac:dyDescent="0.25">
      <c r="A11" s="28"/>
      <c r="B11" s="29"/>
      <c r="C11" s="210"/>
      <c r="D11" s="19"/>
      <c r="E11" s="19"/>
      <c r="F11" s="19"/>
      <c r="G11" s="19"/>
      <c r="H11" s="19"/>
      <c r="I11" s="19"/>
      <c r="J11" s="19"/>
      <c r="K11" s="19"/>
      <c r="L11" s="30"/>
      <c r="M11" s="30"/>
      <c r="N11" s="31"/>
      <c r="O11" s="22"/>
      <c r="P11" s="19"/>
    </row>
    <row r="12" spans="1:25" x14ac:dyDescent="0.2">
      <c r="A12" s="236" t="s">
        <v>29</v>
      </c>
      <c r="B12" s="272" t="s">
        <v>43</v>
      </c>
      <c r="C12" s="268" t="s">
        <v>44</v>
      </c>
      <c r="D12" s="275" t="s">
        <v>45</v>
      </c>
      <c r="E12" s="279" t="s">
        <v>46</v>
      </c>
      <c r="F12" s="267" t="s">
        <v>47</v>
      </c>
      <c r="G12" s="268"/>
      <c r="H12" s="268"/>
      <c r="I12" s="268"/>
      <c r="J12" s="268"/>
      <c r="K12" s="269"/>
      <c r="L12" s="267" t="s">
        <v>48</v>
      </c>
      <c r="M12" s="268"/>
      <c r="N12" s="268"/>
      <c r="O12" s="268"/>
      <c r="P12" s="269"/>
    </row>
    <row r="13" spans="1:25" ht="126.75" customHeight="1" thickBot="1" x14ac:dyDescent="0.25">
      <c r="A13" s="271"/>
      <c r="B13" s="273"/>
      <c r="C13" s="274"/>
      <c r="D13" s="276"/>
      <c r="E13" s="280"/>
      <c r="F13" s="214" t="s">
        <v>49</v>
      </c>
      <c r="G13" s="215" t="s">
        <v>50</v>
      </c>
      <c r="H13" s="215" t="s">
        <v>51</v>
      </c>
      <c r="I13" s="215" t="s">
        <v>52</v>
      </c>
      <c r="J13" s="215" t="s">
        <v>53</v>
      </c>
      <c r="K13" s="51" t="s">
        <v>54</v>
      </c>
      <c r="L13" s="214" t="s">
        <v>49</v>
      </c>
      <c r="M13" s="215" t="s">
        <v>51</v>
      </c>
      <c r="N13" s="215" t="s">
        <v>52</v>
      </c>
      <c r="O13" s="215" t="s">
        <v>53</v>
      </c>
      <c r="P13" s="51" t="s">
        <v>54</v>
      </c>
    </row>
    <row r="14" spans="1:25" ht="13.2" x14ac:dyDescent="0.2">
      <c r="A14" s="121"/>
      <c r="B14" s="122"/>
      <c r="C14" s="123" t="s">
        <v>416</v>
      </c>
      <c r="D14" s="124"/>
      <c r="E14" s="125"/>
      <c r="F14" s="126"/>
      <c r="G14" s="134"/>
      <c r="H14" s="127"/>
      <c r="I14" s="127"/>
      <c r="J14" s="127"/>
      <c r="K14" s="150"/>
      <c r="L14" s="106"/>
      <c r="M14" s="89"/>
      <c r="N14" s="89"/>
      <c r="O14" s="89"/>
      <c r="P14" s="90"/>
    </row>
    <row r="15" spans="1:25" ht="13.2" x14ac:dyDescent="0.2">
      <c r="A15" s="160">
        <v>1</v>
      </c>
      <c r="B15" s="157" t="s">
        <v>56</v>
      </c>
      <c r="C15" s="163" t="s">
        <v>417</v>
      </c>
      <c r="D15" s="157" t="s">
        <v>70</v>
      </c>
      <c r="E15" s="162">
        <v>97.8</v>
      </c>
      <c r="F15" s="133"/>
      <c r="G15" s="134"/>
      <c r="H15" s="135">
        <f>ROUND(F15*G15,2)</f>
        <v>0</v>
      </c>
      <c r="I15" s="134"/>
      <c r="J15" s="134"/>
      <c r="K15" s="134">
        <f t="shared" ref="K15:K23" si="0">ROUND(H15+J15+I15,2)</f>
        <v>0</v>
      </c>
      <c r="L15" s="105">
        <f t="shared" ref="L15" si="1">ROUND(E15*F15,2)</f>
        <v>0</v>
      </c>
      <c r="M15" s="87">
        <f t="shared" ref="M15" si="2">ROUND(E15*H15,2)</f>
        <v>0</v>
      </c>
      <c r="N15" s="87">
        <f t="shared" ref="N15" si="3">ROUND(E15*I15,2)</f>
        <v>0</v>
      </c>
      <c r="O15" s="87">
        <f t="shared" ref="O15" si="4">ROUND(E15*J15,2)</f>
        <v>0</v>
      </c>
      <c r="P15" s="88">
        <f t="shared" ref="P15" si="5">ROUND(O15+N15+M15,2)</f>
        <v>0</v>
      </c>
      <c r="Q15" s="97"/>
      <c r="R15" s="27"/>
      <c r="S15" s="27"/>
      <c r="T15" s="27"/>
      <c r="U15" s="27"/>
      <c r="V15" s="27"/>
      <c r="W15" s="27"/>
      <c r="X15" s="27"/>
      <c r="Y15" s="27"/>
    </row>
    <row r="16" spans="1:25" ht="16.5" customHeight="1" x14ac:dyDescent="0.2">
      <c r="A16" s="160">
        <v>2</v>
      </c>
      <c r="B16" s="157"/>
      <c r="C16" s="164" t="s">
        <v>418</v>
      </c>
      <c r="D16" s="157" t="s">
        <v>70</v>
      </c>
      <c r="E16" s="162">
        <f>E15*1.03</f>
        <v>100.73399999999999</v>
      </c>
      <c r="F16" s="133"/>
      <c r="G16" s="134"/>
      <c r="H16" s="135"/>
      <c r="I16" s="134"/>
      <c r="J16" s="134"/>
      <c r="K16" s="134">
        <f t="shared" si="0"/>
        <v>0</v>
      </c>
      <c r="L16" s="105">
        <f t="shared" ref="L16:L32" si="6">ROUND(E16*F16,2)</f>
        <v>0</v>
      </c>
      <c r="M16" s="87">
        <f t="shared" ref="M16:M32" si="7">ROUND(E16*H16,2)</f>
        <v>0</v>
      </c>
      <c r="N16" s="87">
        <f t="shared" ref="N16:N32" si="8">ROUND(E16*I16,2)</f>
        <v>0</v>
      </c>
      <c r="O16" s="87">
        <f t="shared" ref="O16:O32" si="9">ROUND(E16*J16,2)</f>
        <v>0</v>
      </c>
      <c r="P16" s="88">
        <f t="shared" ref="P16:P32" si="10">ROUND(O16+N16+M16,2)</f>
        <v>0</v>
      </c>
      <c r="Q16" s="97"/>
      <c r="R16" s="98"/>
      <c r="S16" s="98"/>
      <c r="T16" s="98"/>
      <c r="U16" s="98"/>
      <c r="V16" s="98"/>
      <c r="W16" s="98"/>
      <c r="X16" s="98"/>
      <c r="Y16" s="98"/>
    </row>
    <row r="17" spans="1:25" ht="13.2" x14ac:dyDescent="0.2">
      <c r="A17" s="160">
        <v>3</v>
      </c>
      <c r="B17" s="157"/>
      <c r="C17" s="164" t="s">
        <v>419</v>
      </c>
      <c r="D17" s="157" t="s">
        <v>105</v>
      </c>
      <c r="E17" s="162">
        <f>E15*1.2*0.03</f>
        <v>3.5207999999999995</v>
      </c>
      <c r="F17" s="133"/>
      <c r="G17" s="134"/>
      <c r="H17" s="135"/>
      <c r="I17" s="134"/>
      <c r="J17" s="134"/>
      <c r="K17" s="134">
        <f t="shared" si="0"/>
        <v>0</v>
      </c>
      <c r="L17" s="105">
        <f t="shared" si="6"/>
        <v>0</v>
      </c>
      <c r="M17" s="87">
        <f t="shared" si="7"/>
        <v>0</v>
      </c>
      <c r="N17" s="87">
        <f t="shared" si="8"/>
        <v>0</v>
      </c>
      <c r="O17" s="87">
        <f t="shared" si="9"/>
        <v>0</v>
      </c>
      <c r="P17" s="88">
        <f t="shared" si="10"/>
        <v>0</v>
      </c>
      <c r="Q17" s="97"/>
      <c r="R17" s="98"/>
      <c r="S17" s="98"/>
      <c r="T17" s="98"/>
      <c r="U17" s="98"/>
      <c r="V17" s="98"/>
      <c r="W17" s="98"/>
      <c r="X17" s="98"/>
      <c r="Y17" s="98"/>
    </row>
    <row r="18" spans="1:25" ht="13.2" x14ac:dyDescent="0.2">
      <c r="A18" s="160">
        <v>4</v>
      </c>
      <c r="B18" s="157"/>
      <c r="C18" s="164" t="s">
        <v>420</v>
      </c>
      <c r="D18" s="157" t="s">
        <v>105</v>
      </c>
      <c r="E18" s="162">
        <f>E15*0.25*1.2</f>
        <v>29.339999999999996</v>
      </c>
      <c r="F18" s="133"/>
      <c r="G18" s="134"/>
      <c r="H18" s="135"/>
      <c r="I18" s="134"/>
      <c r="J18" s="134"/>
      <c r="K18" s="134">
        <f t="shared" si="0"/>
        <v>0</v>
      </c>
      <c r="L18" s="105">
        <f t="shared" si="6"/>
        <v>0</v>
      </c>
      <c r="M18" s="87">
        <f t="shared" si="7"/>
        <v>0</v>
      </c>
      <c r="N18" s="87">
        <f t="shared" si="8"/>
        <v>0</v>
      </c>
      <c r="O18" s="87">
        <f t="shared" si="9"/>
        <v>0</v>
      </c>
      <c r="P18" s="88">
        <f t="shared" si="10"/>
        <v>0</v>
      </c>
      <c r="Q18" s="97"/>
      <c r="R18" s="98"/>
      <c r="S18" s="98"/>
      <c r="T18" s="98"/>
      <c r="U18" s="98"/>
      <c r="V18" s="98"/>
      <c r="W18" s="98"/>
      <c r="X18" s="98"/>
      <c r="Y18" s="98"/>
    </row>
    <row r="19" spans="1:25" ht="13.2" x14ac:dyDescent="0.2">
      <c r="A19" s="160">
        <v>5</v>
      </c>
      <c r="B19" s="157"/>
      <c r="C19" s="164" t="s">
        <v>421</v>
      </c>
      <c r="D19" s="157" t="s">
        <v>105</v>
      </c>
      <c r="E19" s="162">
        <f>E15*0.9*1.2</f>
        <v>105.624</v>
      </c>
      <c r="F19" s="133"/>
      <c r="G19" s="134"/>
      <c r="H19" s="135"/>
      <c r="I19" s="134"/>
      <c r="J19" s="134"/>
      <c r="K19" s="134"/>
      <c r="L19" s="105">
        <f t="shared" si="6"/>
        <v>0</v>
      </c>
      <c r="M19" s="87">
        <f t="shared" si="7"/>
        <v>0</v>
      </c>
      <c r="N19" s="87">
        <f t="shared" si="8"/>
        <v>0</v>
      </c>
      <c r="O19" s="87">
        <f t="shared" si="9"/>
        <v>0</v>
      </c>
      <c r="P19" s="88">
        <f t="shared" si="10"/>
        <v>0</v>
      </c>
      <c r="Q19" s="97"/>
      <c r="R19" s="98"/>
      <c r="S19" s="98"/>
      <c r="T19" s="112"/>
      <c r="U19" s="98"/>
      <c r="V19" s="98"/>
      <c r="W19" s="98"/>
      <c r="X19" s="98"/>
      <c r="Y19" s="98"/>
    </row>
    <row r="20" spans="1:25" ht="13.2" x14ac:dyDescent="0.2">
      <c r="A20" s="160">
        <v>6</v>
      </c>
      <c r="B20" s="157"/>
      <c r="C20" s="164" t="s">
        <v>422</v>
      </c>
      <c r="D20" s="157" t="s">
        <v>58</v>
      </c>
      <c r="E20" s="162">
        <f>ROUND(155.8*1.02,0)</f>
        <v>159</v>
      </c>
      <c r="F20" s="133"/>
      <c r="G20" s="134"/>
      <c r="H20" s="135"/>
      <c r="I20" s="134"/>
      <c r="J20" s="134"/>
      <c r="K20" s="134">
        <f t="shared" si="0"/>
        <v>0</v>
      </c>
      <c r="L20" s="105">
        <f t="shared" si="6"/>
        <v>0</v>
      </c>
      <c r="M20" s="87">
        <f t="shared" si="7"/>
        <v>0</v>
      </c>
      <c r="N20" s="87">
        <f t="shared" si="8"/>
        <v>0</v>
      </c>
      <c r="O20" s="87">
        <f t="shared" si="9"/>
        <v>0</v>
      </c>
      <c r="P20" s="88">
        <f t="shared" si="10"/>
        <v>0</v>
      </c>
      <c r="Q20" s="97"/>
      <c r="R20" s="98"/>
      <c r="S20" s="98"/>
      <c r="T20" s="98"/>
      <c r="U20" s="98"/>
      <c r="V20" s="98"/>
      <c r="W20" s="98"/>
      <c r="X20" s="98"/>
      <c r="Y20" s="98"/>
    </row>
    <row r="21" spans="1:25" ht="13.2" x14ac:dyDescent="0.2">
      <c r="A21" s="160">
        <v>7</v>
      </c>
      <c r="B21" s="157"/>
      <c r="C21" s="164" t="s">
        <v>423</v>
      </c>
      <c r="D21" s="157" t="s">
        <v>105</v>
      </c>
      <c r="E21" s="162">
        <f>E20*0.3*0.2</f>
        <v>9.5399999999999991</v>
      </c>
      <c r="F21" s="133"/>
      <c r="G21" s="134"/>
      <c r="H21" s="135"/>
      <c r="I21" s="134"/>
      <c r="J21" s="134"/>
      <c r="K21" s="134">
        <f t="shared" si="0"/>
        <v>0</v>
      </c>
      <c r="L21" s="105">
        <f t="shared" si="6"/>
        <v>0</v>
      </c>
      <c r="M21" s="87">
        <f t="shared" si="7"/>
        <v>0</v>
      </c>
      <c r="N21" s="87">
        <f t="shared" si="8"/>
        <v>0</v>
      </c>
      <c r="O21" s="87">
        <f t="shared" si="9"/>
        <v>0</v>
      </c>
      <c r="P21" s="88">
        <f t="shared" si="10"/>
        <v>0</v>
      </c>
      <c r="Q21" s="97"/>
      <c r="R21" s="98"/>
      <c r="S21" s="98"/>
      <c r="T21" s="98"/>
      <c r="U21" s="98"/>
      <c r="V21" s="98"/>
      <c r="W21" s="98"/>
      <c r="X21" s="98"/>
      <c r="Y21" s="98"/>
    </row>
    <row r="22" spans="1:25" ht="26.4" x14ac:dyDescent="0.2">
      <c r="A22" s="160">
        <v>8</v>
      </c>
      <c r="B22" s="157" t="s">
        <v>56</v>
      </c>
      <c r="C22" s="163" t="s">
        <v>424</v>
      </c>
      <c r="D22" s="157" t="s">
        <v>58</v>
      </c>
      <c r="E22" s="162">
        <v>8</v>
      </c>
      <c r="F22" s="133"/>
      <c r="G22" s="134"/>
      <c r="H22" s="135">
        <f t="shared" ref="H22:H31" si="11">ROUND(F22*G22,2)</f>
        <v>0</v>
      </c>
      <c r="I22" s="134"/>
      <c r="J22" s="134"/>
      <c r="K22" s="134">
        <f t="shared" si="0"/>
        <v>0</v>
      </c>
      <c r="L22" s="105">
        <f t="shared" si="6"/>
        <v>0</v>
      </c>
      <c r="M22" s="87">
        <f t="shared" si="7"/>
        <v>0</v>
      </c>
      <c r="N22" s="87">
        <f t="shared" si="8"/>
        <v>0</v>
      </c>
      <c r="O22" s="87">
        <f t="shared" si="9"/>
        <v>0</v>
      </c>
      <c r="P22" s="88">
        <f t="shared" si="10"/>
        <v>0</v>
      </c>
      <c r="Q22" s="97"/>
      <c r="R22" s="98"/>
      <c r="S22" s="98"/>
      <c r="T22" s="98"/>
      <c r="U22" s="98"/>
      <c r="V22" s="98"/>
      <c r="W22" s="98"/>
      <c r="X22" s="98"/>
      <c r="Y22" s="98"/>
    </row>
    <row r="23" spans="1:25" ht="13.2" x14ac:dyDescent="0.2">
      <c r="A23" s="160">
        <v>9</v>
      </c>
      <c r="B23" s="157" t="s">
        <v>56</v>
      </c>
      <c r="C23" s="163" t="s">
        <v>425</v>
      </c>
      <c r="D23" s="157" t="s">
        <v>58</v>
      </c>
      <c r="E23" s="162">
        <v>8</v>
      </c>
      <c r="F23" s="133"/>
      <c r="G23" s="134"/>
      <c r="H23" s="135">
        <f t="shared" si="11"/>
        <v>0</v>
      </c>
      <c r="I23" s="134"/>
      <c r="J23" s="134"/>
      <c r="K23" s="134">
        <f t="shared" si="0"/>
        <v>0</v>
      </c>
      <c r="L23" s="105">
        <f t="shared" si="6"/>
        <v>0</v>
      </c>
      <c r="M23" s="87">
        <f t="shared" si="7"/>
        <v>0</v>
      </c>
      <c r="N23" s="87">
        <f t="shared" si="8"/>
        <v>0</v>
      </c>
      <c r="O23" s="87">
        <f t="shared" si="9"/>
        <v>0</v>
      </c>
      <c r="P23" s="88">
        <f t="shared" si="10"/>
        <v>0</v>
      </c>
      <c r="Q23" s="97"/>
      <c r="R23" s="98"/>
      <c r="S23" s="98"/>
      <c r="T23" s="98"/>
      <c r="U23" s="98"/>
      <c r="V23" s="98"/>
      <c r="W23" s="98"/>
      <c r="X23" s="98"/>
      <c r="Y23" s="98"/>
    </row>
    <row r="24" spans="1:25" ht="26.4" x14ac:dyDescent="0.2">
      <c r="A24" s="165"/>
      <c r="B24" s="166"/>
      <c r="C24" s="167" t="s">
        <v>426</v>
      </c>
      <c r="D24" s="168"/>
      <c r="E24" s="169"/>
      <c r="F24" s="170"/>
      <c r="G24" s="187"/>
      <c r="H24" s="171"/>
      <c r="I24" s="171"/>
      <c r="J24" s="171"/>
      <c r="K24" s="187"/>
      <c r="L24" s="105">
        <f t="shared" si="6"/>
        <v>0</v>
      </c>
      <c r="M24" s="87">
        <f t="shared" si="7"/>
        <v>0</v>
      </c>
      <c r="N24" s="87">
        <f t="shared" si="8"/>
        <v>0</v>
      </c>
      <c r="O24" s="87">
        <f t="shared" si="9"/>
        <v>0</v>
      </c>
      <c r="P24" s="88">
        <f t="shared" si="10"/>
        <v>0</v>
      </c>
      <c r="Q24" s="97"/>
      <c r="R24" s="98"/>
      <c r="S24" s="98"/>
      <c r="T24" s="98"/>
      <c r="U24" s="98"/>
      <c r="V24" s="98"/>
      <c r="W24" s="98"/>
      <c r="X24" s="98"/>
      <c r="Y24" s="98"/>
    </row>
    <row r="25" spans="1:25" ht="26.4" x14ac:dyDescent="0.2">
      <c r="A25" s="160">
        <v>1</v>
      </c>
      <c r="B25" s="157" t="s">
        <v>56</v>
      </c>
      <c r="C25" s="163" t="s">
        <v>427</v>
      </c>
      <c r="D25" s="157" t="s">
        <v>70</v>
      </c>
      <c r="E25" s="162">
        <v>16.5</v>
      </c>
      <c r="F25" s="133"/>
      <c r="G25" s="134"/>
      <c r="H25" s="135">
        <f>ROUND(F25*G25,2)</f>
        <v>0</v>
      </c>
      <c r="I25" s="134"/>
      <c r="J25" s="134"/>
      <c r="K25" s="134">
        <f t="shared" ref="K25:K28" si="12">ROUND(H25+J25+I25,2)</f>
        <v>0</v>
      </c>
      <c r="L25" s="105">
        <f t="shared" si="6"/>
        <v>0</v>
      </c>
      <c r="M25" s="87">
        <f t="shared" si="7"/>
        <v>0</v>
      </c>
      <c r="N25" s="87">
        <f t="shared" si="8"/>
        <v>0</v>
      </c>
      <c r="O25" s="87">
        <f t="shared" si="9"/>
        <v>0</v>
      </c>
      <c r="P25" s="88">
        <f t="shared" si="10"/>
        <v>0</v>
      </c>
      <c r="Q25" s="97"/>
      <c r="R25" s="98"/>
      <c r="S25" s="98"/>
      <c r="T25" s="98"/>
      <c r="U25" s="98"/>
      <c r="V25" s="98"/>
      <c r="W25" s="98"/>
      <c r="X25" s="98"/>
      <c r="Y25" s="98"/>
    </row>
    <row r="26" spans="1:25" ht="26.4" x14ac:dyDescent="0.2">
      <c r="A26" s="160">
        <v>2</v>
      </c>
      <c r="B26" s="157"/>
      <c r="C26" s="164" t="s">
        <v>428</v>
      </c>
      <c r="D26" s="157" t="s">
        <v>70</v>
      </c>
      <c r="E26" s="162">
        <f>E25*1.03*0.1</f>
        <v>1.6995000000000002</v>
      </c>
      <c r="F26" s="133"/>
      <c r="G26" s="134"/>
      <c r="H26" s="135"/>
      <c r="I26" s="134"/>
      <c r="J26" s="134"/>
      <c r="K26" s="134">
        <f t="shared" si="12"/>
        <v>0</v>
      </c>
      <c r="L26" s="105">
        <f t="shared" si="6"/>
        <v>0</v>
      </c>
      <c r="M26" s="87">
        <f t="shared" si="7"/>
        <v>0</v>
      </c>
      <c r="N26" s="87">
        <f t="shared" si="8"/>
        <v>0</v>
      </c>
      <c r="O26" s="87">
        <f t="shared" si="9"/>
        <v>0</v>
      </c>
      <c r="P26" s="88">
        <f t="shared" si="10"/>
        <v>0</v>
      </c>
      <c r="Q26" s="97"/>
      <c r="R26" s="98"/>
      <c r="S26" s="98"/>
      <c r="T26" s="98"/>
      <c r="U26" s="98"/>
      <c r="V26" s="98"/>
      <c r="W26" s="98"/>
      <c r="X26" s="98"/>
      <c r="Y26" s="98"/>
    </row>
    <row r="27" spans="1:25" ht="13.2" x14ac:dyDescent="0.2">
      <c r="A27" s="160">
        <v>3</v>
      </c>
      <c r="B27" s="157"/>
      <c r="C27" s="164" t="s">
        <v>419</v>
      </c>
      <c r="D27" s="157" t="s">
        <v>105</v>
      </c>
      <c r="E27" s="162">
        <f>E25*1.2*0.03</f>
        <v>0.59399999999999997</v>
      </c>
      <c r="F27" s="133"/>
      <c r="G27" s="134"/>
      <c r="H27" s="135"/>
      <c r="I27" s="134"/>
      <c r="J27" s="134"/>
      <c r="K27" s="134">
        <f t="shared" si="12"/>
        <v>0</v>
      </c>
      <c r="L27" s="105">
        <f t="shared" si="6"/>
        <v>0</v>
      </c>
      <c r="M27" s="87">
        <f t="shared" si="7"/>
        <v>0</v>
      </c>
      <c r="N27" s="87">
        <f t="shared" si="8"/>
        <v>0</v>
      </c>
      <c r="O27" s="87">
        <f t="shared" si="9"/>
        <v>0</v>
      </c>
      <c r="P27" s="88">
        <f t="shared" si="10"/>
        <v>0</v>
      </c>
      <c r="Q27" s="97"/>
      <c r="R27" s="98"/>
      <c r="S27" s="98"/>
      <c r="T27" s="98"/>
      <c r="U27" s="98"/>
      <c r="V27" s="98"/>
      <c r="W27" s="98"/>
      <c r="X27" s="98"/>
      <c r="Y27" s="98"/>
    </row>
    <row r="28" spans="1:25" ht="13.2" x14ac:dyDescent="0.2">
      <c r="A28" s="160">
        <v>4</v>
      </c>
      <c r="B28" s="157"/>
      <c r="C28" s="164" t="s">
        <v>420</v>
      </c>
      <c r="D28" s="157" t="s">
        <v>105</v>
      </c>
      <c r="E28" s="162">
        <f>E25*0.25*1.2</f>
        <v>4.95</v>
      </c>
      <c r="F28" s="133"/>
      <c r="G28" s="134"/>
      <c r="H28" s="135"/>
      <c r="I28" s="134"/>
      <c r="J28" s="134"/>
      <c r="K28" s="134">
        <f t="shared" si="12"/>
        <v>0</v>
      </c>
      <c r="L28" s="105">
        <f t="shared" si="6"/>
        <v>0</v>
      </c>
      <c r="M28" s="87">
        <f t="shared" si="7"/>
        <v>0</v>
      </c>
      <c r="N28" s="87">
        <f t="shared" si="8"/>
        <v>0</v>
      </c>
      <c r="O28" s="87">
        <f t="shared" si="9"/>
        <v>0</v>
      </c>
      <c r="P28" s="88">
        <f t="shared" si="10"/>
        <v>0</v>
      </c>
      <c r="Q28" s="97"/>
      <c r="R28" s="98"/>
      <c r="S28" s="98"/>
      <c r="T28" s="98"/>
      <c r="U28" s="98"/>
      <c r="V28" s="98"/>
      <c r="W28" s="98"/>
      <c r="X28" s="98"/>
      <c r="Y28" s="98"/>
    </row>
    <row r="29" spans="1:25" ht="13.2" x14ac:dyDescent="0.2">
      <c r="A29" s="160">
        <v>5</v>
      </c>
      <c r="B29" s="157"/>
      <c r="C29" s="164" t="s">
        <v>421</v>
      </c>
      <c r="D29" s="157" t="s">
        <v>105</v>
      </c>
      <c r="E29" s="162">
        <f>E25*0.9*1.2</f>
        <v>17.82</v>
      </c>
      <c r="F29" s="133"/>
      <c r="G29" s="134"/>
      <c r="H29" s="135"/>
      <c r="I29" s="134"/>
      <c r="J29" s="134"/>
      <c r="K29" s="134"/>
      <c r="L29" s="105">
        <f t="shared" si="6"/>
        <v>0</v>
      </c>
      <c r="M29" s="87">
        <f t="shared" si="7"/>
        <v>0</v>
      </c>
      <c r="N29" s="87">
        <f t="shared" si="8"/>
        <v>0</v>
      </c>
      <c r="O29" s="87">
        <f t="shared" si="9"/>
        <v>0</v>
      </c>
      <c r="P29" s="88">
        <f t="shared" si="10"/>
        <v>0</v>
      </c>
      <c r="Q29" s="97"/>
      <c r="R29" s="98"/>
      <c r="S29" s="98"/>
      <c r="T29" s="98"/>
      <c r="U29" s="98"/>
      <c r="V29" s="98"/>
      <c r="W29" s="98"/>
      <c r="X29" s="98"/>
      <c r="Y29" s="98"/>
    </row>
    <row r="30" spans="1:25" ht="13.2" x14ac:dyDescent="0.2">
      <c r="A30" s="165"/>
      <c r="B30" s="166"/>
      <c r="C30" s="167" t="s">
        <v>429</v>
      </c>
      <c r="D30" s="168"/>
      <c r="E30" s="169"/>
      <c r="F30" s="170"/>
      <c r="G30" s="134"/>
      <c r="H30" s="135"/>
      <c r="I30" s="171"/>
      <c r="J30" s="171"/>
      <c r="K30" s="187"/>
      <c r="L30" s="105">
        <f t="shared" si="6"/>
        <v>0</v>
      </c>
      <c r="M30" s="87">
        <f t="shared" si="7"/>
        <v>0</v>
      </c>
      <c r="N30" s="87">
        <f t="shared" si="8"/>
        <v>0</v>
      </c>
      <c r="O30" s="87">
        <f t="shared" si="9"/>
        <v>0</v>
      </c>
      <c r="P30" s="88">
        <f t="shared" si="10"/>
        <v>0</v>
      </c>
      <c r="Q30" s="97"/>
      <c r="R30" s="98"/>
      <c r="S30" s="98"/>
      <c r="T30" s="98"/>
      <c r="U30" s="98"/>
      <c r="V30" s="98"/>
      <c r="W30" s="98"/>
      <c r="X30" s="98"/>
      <c r="Y30" s="98"/>
    </row>
    <row r="31" spans="1:25" ht="39.6" x14ac:dyDescent="0.2">
      <c r="A31" s="160">
        <v>1</v>
      </c>
      <c r="B31" s="157" t="s">
        <v>56</v>
      </c>
      <c r="C31" s="163" t="s">
        <v>430</v>
      </c>
      <c r="D31" s="157" t="s">
        <v>70</v>
      </c>
      <c r="E31" s="162">
        <v>844.3</v>
      </c>
      <c r="F31" s="133"/>
      <c r="G31" s="134"/>
      <c r="H31" s="135">
        <f t="shared" si="11"/>
        <v>0</v>
      </c>
      <c r="I31" s="134"/>
      <c r="J31" s="134"/>
      <c r="K31" s="134">
        <f t="shared" ref="K31:K33" si="13">ROUND(H31+J31+I31,2)</f>
        <v>0</v>
      </c>
      <c r="L31" s="105">
        <f t="shared" si="6"/>
        <v>0</v>
      </c>
      <c r="M31" s="87">
        <f t="shared" si="7"/>
        <v>0</v>
      </c>
      <c r="N31" s="87">
        <f t="shared" si="8"/>
        <v>0</v>
      </c>
      <c r="O31" s="87">
        <f t="shared" si="9"/>
        <v>0</v>
      </c>
      <c r="P31" s="88">
        <f t="shared" si="10"/>
        <v>0</v>
      </c>
      <c r="Q31" s="97"/>
      <c r="R31" s="98"/>
      <c r="S31" s="98"/>
      <c r="T31" s="98"/>
      <c r="U31" s="98"/>
      <c r="V31" s="98"/>
      <c r="W31" s="98"/>
      <c r="X31" s="98"/>
      <c r="Y31" s="98"/>
    </row>
    <row r="32" spans="1:25" ht="13.2" x14ac:dyDescent="0.2">
      <c r="A32" s="160">
        <v>2</v>
      </c>
      <c r="B32" s="157"/>
      <c r="C32" s="164" t="s">
        <v>431</v>
      </c>
      <c r="D32" s="157" t="s">
        <v>105</v>
      </c>
      <c r="E32" s="162">
        <f>E31*0.05*1.3</f>
        <v>54.879500000000007</v>
      </c>
      <c r="F32" s="133"/>
      <c r="G32" s="134"/>
      <c r="H32" s="135"/>
      <c r="I32" s="134"/>
      <c r="J32" s="134"/>
      <c r="K32" s="134">
        <f t="shared" si="13"/>
        <v>0</v>
      </c>
      <c r="L32" s="105">
        <f t="shared" si="6"/>
        <v>0</v>
      </c>
      <c r="M32" s="87">
        <f t="shared" si="7"/>
        <v>0</v>
      </c>
      <c r="N32" s="87">
        <f t="shared" si="8"/>
        <v>0</v>
      </c>
      <c r="O32" s="87">
        <f t="shared" si="9"/>
        <v>0</v>
      </c>
      <c r="P32" s="88">
        <f t="shared" si="10"/>
        <v>0</v>
      </c>
      <c r="Q32" s="97"/>
      <c r="R32" s="98"/>
      <c r="S32" s="98"/>
      <c r="T32" s="98"/>
      <c r="U32" s="98"/>
      <c r="V32" s="98"/>
      <c r="W32" s="98"/>
      <c r="X32" s="98"/>
      <c r="Y32" s="98"/>
    </row>
    <row r="33" spans="1:25" ht="13.8" thickBot="1" x14ac:dyDescent="0.25">
      <c r="A33" s="160">
        <v>2</v>
      </c>
      <c r="B33" s="157"/>
      <c r="C33" s="164" t="s">
        <v>432</v>
      </c>
      <c r="D33" s="157" t="s">
        <v>165</v>
      </c>
      <c r="E33" s="162">
        <f>E31/25</f>
        <v>33.771999999999998</v>
      </c>
      <c r="F33" s="133"/>
      <c r="G33" s="134"/>
      <c r="H33" s="135"/>
      <c r="I33" s="134"/>
      <c r="J33" s="134"/>
      <c r="K33" s="134">
        <f t="shared" si="13"/>
        <v>0</v>
      </c>
      <c r="L33" s="105">
        <f t="shared" ref="L33" si="14">ROUND(E33*F33,2)</f>
        <v>0</v>
      </c>
      <c r="M33" s="87">
        <f t="shared" ref="M33" si="15">ROUND(E33*H33,2)</f>
        <v>0</v>
      </c>
      <c r="N33" s="87">
        <f t="shared" ref="N33" si="16">ROUND(E33*I33,2)</f>
        <v>0</v>
      </c>
      <c r="O33" s="87">
        <f t="shared" ref="O33" si="17">ROUND(E33*J33,2)</f>
        <v>0</v>
      </c>
      <c r="P33" s="88">
        <f t="shared" ref="P33" si="18">ROUND(O33+N33+M33,2)</f>
        <v>0</v>
      </c>
      <c r="Q33" s="97"/>
      <c r="R33" s="98"/>
      <c r="S33" s="98"/>
      <c r="T33" s="98"/>
      <c r="U33" s="98"/>
      <c r="V33" s="98"/>
      <c r="W33" s="98"/>
      <c r="X33" s="98"/>
      <c r="Y33" s="98"/>
    </row>
    <row r="34" spans="1:25" ht="12" customHeight="1" thickBot="1" x14ac:dyDescent="0.25">
      <c r="A34" s="285"/>
      <c r="B34" s="286"/>
      <c r="C34" s="286"/>
      <c r="D34" s="286"/>
      <c r="E34" s="286"/>
      <c r="F34" s="286"/>
      <c r="G34" s="286"/>
      <c r="H34" s="286"/>
      <c r="I34" s="286"/>
      <c r="J34" s="286"/>
      <c r="K34" s="287"/>
      <c r="L34" s="52">
        <f>SUM(L14:L33)</f>
        <v>0</v>
      </c>
      <c r="M34" s="53">
        <f>SUM(M14:M33)</f>
        <v>0</v>
      </c>
      <c r="N34" s="53">
        <f>SUM(N14:N33)</f>
        <v>0</v>
      </c>
      <c r="O34" s="53">
        <f>SUM(O14:O33)</f>
        <v>0</v>
      </c>
      <c r="P34" s="54">
        <f>SUM(P14:P33)</f>
        <v>0</v>
      </c>
    </row>
    <row r="35" spans="1:25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</row>
    <row r="36" spans="1:25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pans="1:25" x14ac:dyDescent="0.2">
      <c r="A37" s="1" t="s">
        <v>18</v>
      </c>
      <c r="B37" s="14"/>
      <c r="C37" s="281">
        <f>'Kops a'!C35:H35</f>
        <v>0</v>
      </c>
      <c r="D37" s="281"/>
      <c r="E37" s="281"/>
      <c r="F37" s="281"/>
      <c r="G37" s="281"/>
      <c r="H37" s="281"/>
      <c r="I37" s="14"/>
      <c r="J37" s="14"/>
      <c r="K37" s="14"/>
      <c r="L37" s="14"/>
      <c r="M37" s="14"/>
      <c r="N37" s="14"/>
      <c r="O37" s="14"/>
      <c r="P37" s="14"/>
    </row>
    <row r="38" spans="1:25" x14ac:dyDescent="0.2">
      <c r="A38" s="14"/>
      <c r="B38" s="14"/>
      <c r="C38" s="216" t="s">
        <v>19</v>
      </c>
      <c r="D38" s="216"/>
      <c r="E38" s="216"/>
      <c r="F38" s="216"/>
      <c r="G38" s="216"/>
      <c r="H38" s="216"/>
      <c r="I38" s="14"/>
      <c r="J38" s="14"/>
      <c r="K38" s="14"/>
      <c r="L38" s="14"/>
      <c r="M38" s="14"/>
      <c r="N38" s="14"/>
      <c r="O38" s="14"/>
      <c r="P38" s="14"/>
    </row>
    <row r="39" spans="1:25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</row>
    <row r="40" spans="1:25" x14ac:dyDescent="0.2">
      <c r="A40" s="70" t="str">
        <f>'Kops a'!A38</f>
        <v>Tāme sastādīta</v>
      </c>
      <c r="B40" s="71"/>
      <c r="C40" s="71"/>
      <c r="D40" s="71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</row>
    <row r="41" spans="1:25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</row>
    <row r="42" spans="1:25" x14ac:dyDescent="0.2">
      <c r="A42" s="1" t="s">
        <v>38</v>
      </c>
      <c r="B42" s="14"/>
      <c r="C42" s="281">
        <f>'Kops a'!C40:H40</f>
        <v>0</v>
      </c>
      <c r="D42" s="281"/>
      <c r="E42" s="281"/>
      <c r="F42" s="281"/>
      <c r="G42" s="281"/>
      <c r="H42" s="281"/>
      <c r="I42" s="14"/>
      <c r="J42" s="14"/>
      <c r="K42" s="14"/>
      <c r="L42" s="14"/>
      <c r="M42" s="14"/>
      <c r="N42" s="14"/>
      <c r="O42" s="14"/>
      <c r="P42" s="14"/>
    </row>
    <row r="43" spans="1:25" x14ac:dyDescent="0.2">
      <c r="A43" s="14"/>
      <c r="B43" s="14"/>
      <c r="C43" s="216" t="s">
        <v>19</v>
      </c>
      <c r="D43" s="216"/>
      <c r="E43" s="216"/>
      <c r="F43" s="216"/>
      <c r="G43" s="216"/>
      <c r="H43" s="216"/>
      <c r="I43" s="14"/>
      <c r="J43" s="14"/>
      <c r="K43" s="14"/>
      <c r="L43" s="14"/>
      <c r="M43" s="14"/>
      <c r="N43" s="14"/>
      <c r="O43" s="14"/>
      <c r="P43" s="14"/>
    </row>
    <row r="44" spans="1:25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</row>
    <row r="45" spans="1:25" x14ac:dyDescent="0.2">
      <c r="A45" s="70" t="s">
        <v>84</v>
      </c>
      <c r="B45" s="71"/>
      <c r="C45" s="75">
        <f>'Kops a'!C43</f>
        <v>0</v>
      </c>
      <c r="D45" s="39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</row>
    <row r="46" spans="1:25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</row>
  </sheetData>
  <mergeCells count="22">
    <mergeCell ref="C43:H43"/>
    <mergeCell ref="A34:K34"/>
    <mergeCell ref="C37:H37"/>
    <mergeCell ref="C38:H38"/>
    <mergeCell ref="C42:H42"/>
    <mergeCell ref="D8:L8"/>
    <mergeCell ref="N9:O9"/>
    <mergeCell ref="L12:P12"/>
    <mergeCell ref="F12:K12"/>
    <mergeCell ref="A9:F9"/>
    <mergeCell ref="J9:M9"/>
    <mergeCell ref="A12:A13"/>
    <mergeCell ref="B12:B13"/>
    <mergeCell ref="C12:C13"/>
    <mergeCell ref="D12:D13"/>
    <mergeCell ref="E12:E13"/>
    <mergeCell ref="C2:I2"/>
    <mergeCell ref="C3:I3"/>
    <mergeCell ref="D5:L5"/>
    <mergeCell ref="D6:L6"/>
    <mergeCell ref="D7:L7"/>
    <mergeCell ref="C4:I4"/>
  </mergeCells>
  <conditionalFormatting sqref="A16:B33 I16:J33 D16:G33 A15:A33">
    <cfRule type="cellIs" dxfId="77" priority="32" operator="equal">
      <formula>0</formula>
    </cfRule>
  </conditionalFormatting>
  <conditionalFormatting sqref="N9:O9">
    <cfRule type="cellIs" dxfId="76" priority="31" operator="equal">
      <formula>0</formula>
    </cfRule>
  </conditionalFormatting>
  <conditionalFormatting sqref="A9:F9">
    <cfRule type="containsText" dxfId="75" priority="29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74" priority="28" operator="equal">
      <formula>0</formula>
    </cfRule>
  </conditionalFormatting>
  <conditionalFormatting sqref="O10">
    <cfRule type="cellIs" dxfId="73" priority="27" operator="equal">
      <formula>"20__. gada __. _________"</formula>
    </cfRule>
  </conditionalFormatting>
  <conditionalFormatting sqref="A34:K34">
    <cfRule type="containsText" dxfId="72" priority="26" operator="containsText" text="Tiešās izmaksas kopā, t. sk. darba devēja sociālais nodoklis __.__% ">
      <formula>NOT(ISERROR(SEARCH("Tiešās izmaksas kopā, t. sk. darba devēja sociālais nodoklis __.__% ",A34)))</formula>
    </cfRule>
  </conditionalFormatting>
  <conditionalFormatting sqref="H14:H33 L34:P34 K14:P33">
    <cfRule type="cellIs" dxfId="71" priority="21" operator="equal">
      <formula>0</formula>
    </cfRule>
  </conditionalFormatting>
  <conditionalFormatting sqref="C4:I4">
    <cfRule type="cellIs" dxfId="70" priority="20" operator="equal">
      <formula>0</formula>
    </cfRule>
  </conditionalFormatting>
  <conditionalFormatting sqref="C16:C33">
    <cfRule type="cellIs" dxfId="69" priority="19" operator="equal">
      <formula>0</formula>
    </cfRule>
  </conditionalFormatting>
  <conditionalFormatting sqref="D5:L8">
    <cfRule type="cellIs" dxfId="68" priority="16" operator="equal">
      <formula>0</formula>
    </cfRule>
  </conditionalFormatting>
  <conditionalFormatting sqref="A14:B14 D14:G14 F15:G15 A15 A19:A33">
    <cfRule type="cellIs" dxfId="67" priority="15" operator="equal">
      <formula>0</formula>
    </cfRule>
  </conditionalFormatting>
  <conditionalFormatting sqref="C14">
    <cfRule type="cellIs" dxfId="66" priority="14" operator="equal">
      <formula>0</formula>
    </cfRule>
  </conditionalFormatting>
  <conditionalFormatting sqref="I14:J15">
    <cfRule type="cellIs" dxfId="65" priority="13" operator="equal">
      <formula>0</formula>
    </cfRule>
  </conditionalFormatting>
  <conditionalFormatting sqref="P10">
    <cfRule type="cellIs" dxfId="64" priority="12" operator="equal">
      <formula>"20__. gada __. _________"</formula>
    </cfRule>
  </conditionalFormatting>
  <conditionalFormatting sqref="C42:H42">
    <cfRule type="cellIs" dxfId="63" priority="9" operator="equal">
      <formula>0</formula>
    </cfRule>
  </conditionalFormatting>
  <conditionalFormatting sqref="C37:H37">
    <cfRule type="cellIs" dxfId="62" priority="8" operator="equal">
      <formula>0</formula>
    </cfRule>
  </conditionalFormatting>
  <conditionalFormatting sqref="C42:H42 C45 C37:H37">
    <cfRule type="cellIs" dxfId="61" priority="7" operator="equal">
      <formula>0</formula>
    </cfRule>
  </conditionalFormatting>
  <conditionalFormatting sqref="D1">
    <cfRule type="cellIs" dxfId="60" priority="6" operator="equal">
      <formula>0</formula>
    </cfRule>
  </conditionalFormatting>
  <conditionalFormatting sqref="D15">
    <cfRule type="cellIs" dxfId="59" priority="3" operator="equal">
      <formula>0</formula>
    </cfRule>
  </conditionalFormatting>
  <conditionalFormatting sqref="B15 E15">
    <cfRule type="cellIs" dxfId="58" priority="5" operator="equal">
      <formula>0</formula>
    </cfRule>
  </conditionalFormatting>
  <conditionalFormatting sqref="C15">
    <cfRule type="cellIs" dxfId="57" priority="4" operator="equal">
      <formula>0</formula>
    </cfRule>
  </conditionalFormatting>
  <pageMargins left="0.7" right="0.7" top="0.75" bottom="0.75" header="0.3" footer="0.3"/>
  <pageSetup paperSize="9" scale="85" orientation="landscape" r:id="rId1"/>
  <rowBreaks count="1" manualBreakCount="1">
    <brk id="29" max="15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id="{9C848299-F747-4D4C-BE47-58A1BBDB8A5B}">
            <xm:f>NOT(ISERROR(SEARCH("Tāme sastādīta ____. gada ___. ______________",A40)))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A40</xm:sqref>
        </x14:conditionalFormatting>
        <x14:conditionalFormatting xmlns:xm="http://schemas.microsoft.com/office/excel/2006/main">
          <x14:cfRule type="containsText" priority="10" operator="containsText" id="{1A9581D5-9790-4D5D-94E5-4E7B8C258AD0}">
            <xm:f>NOT(ISERROR(SEARCH("Sertifikāta Nr. _________________________________",A45)))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A45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/>
  <dimension ref="A1:P115"/>
  <sheetViews>
    <sheetView view="pageBreakPreview" zoomScaleNormal="100" zoomScaleSheetLayoutView="100" workbookViewId="0">
      <selection activeCell="D5" sqref="D5:L5"/>
    </sheetView>
  </sheetViews>
  <sheetFormatPr defaultColWidth="9.109375" defaultRowHeight="10.199999999999999" x14ac:dyDescent="0.2"/>
  <cols>
    <col min="1" max="1" width="4.5546875" style="1" customWidth="1"/>
    <col min="2" max="2" width="9.44140625" style="1" bestFit="1" customWidth="1"/>
    <col min="3" max="3" width="38.44140625" style="1" customWidth="1"/>
    <col min="4" max="4" width="5.88671875" style="1" customWidth="1"/>
    <col min="5" max="5" width="8.6640625" style="1" customWidth="1"/>
    <col min="6" max="6" width="6.33203125" style="1" bestFit="1" customWidth="1"/>
    <col min="7" max="7" width="5.44140625" style="1" bestFit="1" customWidth="1"/>
    <col min="8" max="8" width="7.6640625" style="1" bestFit="1" customWidth="1"/>
    <col min="9" max="9" width="6.33203125" style="1" bestFit="1" customWidth="1"/>
    <col min="10" max="10" width="5.44140625" style="1" bestFit="1" customWidth="1"/>
    <col min="11" max="11" width="7.6640625" style="1" bestFit="1" customWidth="1"/>
    <col min="12" max="12" width="6.5546875" style="1" bestFit="1" customWidth="1"/>
    <col min="13" max="14" width="7.6640625" style="1" customWidth="1"/>
    <col min="15" max="15" width="6.5546875" style="1" bestFit="1" customWidth="1"/>
    <col min="16" max="16" width="9" style="1" customWidth="1"/>
    <col min="17" max="16384" width="9.109375" style="1"/>
  </cols>
  <sheetData>
    <row r="1" spans="1:16" x14ac:dyDescent="0.2">
      <c r="A1" s="19"/>
      <c r="B1" s="19"/>
      <c r="C1" s="23" t="s">
        <v>39</v>
      </c>
      <c r="D1" s="40">
        <f>'Kops a'!A25</f>
        <v>0</v>
      </c>
      <c r="E1" s="19"/>
      <c r="F1" s="19"/>
      <c r="G1" s="19"/>
      <c r="H1" s="19"/>
      <c r="I1" s="19"/>
      <c r="J1" s="19"/>
      <c r="N1" s="22"/>
      <c r="O1" s="23"/>
      <c r="P1" s="24"/>
    </row>
    <row r="2" spans="1:16" x14ac:dyDescent="0.2">
      <c r="A2" s="25"/>
      <c r="B2" s="25"/>
      <c r="C2" s="264" t="s">
        <v>433</v>
      </c>
      <c r="D2" s="264"/>
      <c r="E2" s="264"/>
      <c r="F2" s="264"/>
      <c r="G2" s="264"/>
      <c r="H2" s="264"/>
      <c r="I2" s="264"/>
      <c r="J2" s="25"/>
    </row>
    <row r="3" spans="1:16" x14ac:dyDescent="0.2">
      <c r="A3" s="26"/>
      <c r="B3" s="26"/>
      <c r="C3" s="225" t="s">
        <v>23</v>
      </c>
      <c r="D3" s="225"/>
      <c r="E3" s="225"/>
      <c r="F3" s="225"/>
      <c r="G3" s="225"/>
      <c r="H3" s="225"/>
      <c r="I3" s="225"/>
      <c r="J3" s="26"/>
    </row>
    <row r="4" spans="1:16" x14ac:dyDescent="0.2">
      <c r="A4" s="26"/>
      <c r="B4" s="26"/>
      <c r="C4" s="265" t="s">
        <v>5</v>
      </c>
      <c r="D4" s="265"/>
      <c r="E4" s="265"/>
      <c r="F4" s="265"/>
      <c r="G4" s="265"/>
      <c r="H4" s="265"/>
      <c r="I4" s="265"/>
      <c r="J4" s="26"/>
    </row>
    <row r="5" spans="1:16" x14ac:dyDescent="0.2">
      <c r="A5" s="19"/>
      <c r="B5" s="19"/>
      <c r="C5" s="23" t="s">
        <v>6</v>
      </c>
      <c r="D5" s="278" t="str">
        <f>'Kops a'!D6</f>
        <v>DAUDZDZĪVOKĻU DZĪVOJAMĀ ĒKA</v>
      </c>
      <c r="E5" s="278"/>
      <c r="F5" s="278"/>
      <c r="G5" s="278"/>
      <c r="H5" s="278"/>
      <c r="I5" s="278"/>
      <c r="J5" s="278"/>
      <c r="K5" s="278"/>
      <c r="L5" s="278"/>
      <c r="M5" s="14"/>
      <c r="N5" s="14"/>
      <c r="O5" s="14"/>
      <c r="P5" s="14"/>
    </row>
    <row r="6" spans="1:16" x14ac:dyDescent="0.2">
      <c r="A6" s="19"/>
      <c r="B6" s="19"/>
      <c r="C6" s="23" t="s">
        <v>8</v>
      </c>
      <c r="D6" s="278" t="str">
        <f>'Kops a'!D7</f>
        <v>ENERGOEFEKTIVITĀTES PAAUGSTINĀŠANA DAUDZDZĪVOKĻU DZĪVOJAMAI ĒKAI</v>
      </c>
      <c r="E6" s="278"/>
      <c r="F6" s="278"/>
      <c r="G6" s="278"/>
      <c r="H6" s="278"/>
      <c r="I6" s="278"/>
      <c r="J6" s="278"/>
      <c r="K6" s="278"/>
      <c r="L6" s="278"/>
      <c r="M6" s="14"/>
      <c r="N6" s="14"/>
      <c r="O6" s="14"/>
      <c r="P6" s="14"/>
    </row>
    <row r="7" spans="1:16" x14ac:dyDescent="0.2">
      <c r="A7" s="19"/>
      <c r="B7" s="19"/>
      <c r="C7" s="23" t="s">
        <v>10</v>
      </c>
      <c r="D7" s="278" t="str">
        <f>'Kops a'!D8</f>
        <v>Mātera iela 23/25, Jelgava, ēkas kad. apz. 0900 001 0126 001</v>
      </c>
      <c r="E7" s="278"/>
      <c r="F7" s="278"/>
      <c r="G7" s="278"/>
      <c r="H7" s="278"/>
      <c r="I7" s="278"/>
      <c r="J7" s="278"/>
      <c r="K7" s="278"/>
      <c r="L7" s="278"/>
      <c r="M7" s="14"/>
      <c r="N7" s="14"/>
      <c r="O7" s="14"/>
      <c r="P7" s="14"/>
    </row>
    <row r="8" spans="1:16" x14ac:dyDescent="0.2">
      <c r="A8" s="19"/>
      <c r="B8" s="19"/>
      <c r="C8" s="210" t="s">
        <v>26</v>
      </c>
      <c r="D8" s="278">
        <f>'Kops a'!D9</f>
        <v>0</v>
      </c>
      <c r="E8" s="278"/>
      <c r="F8" s="278"/>
      <c r="G8" s="278"/>
      <c r="H8" s="278"/>
      <c r="I8" s="278"/>
      <c r="J8" s="278"/>
      <c r="K8" s="278"/>
      <c r="L8" s="278"/>
      <c r="M8" s="14"/>
      <c r="N8" s="14"/>
      <c r="O8" s="14"/>
      <c r="P8" s="14"/>
    </row>
    <row r="9" spans="1:16" ht="11.25" customHeight="1" x14ac:dyDescent="0.2">
      <c r="A9" s="266" t="s">
        <v>434</v>
      </c>
      <c r="B9" s="266"/>
      <c r="C9" s="266"/>
      <c r="D9" s="266"/>
      <c r="E9" s="266"/>
      <c r="F9" s="266"/>
      <c r="G9" s="27"/>
      <c r="H9" s="27"/>
      <c r="I9" s="27"/>
      <c r="J9" s="270" t="s">
        <v>42</v>
      </c>
      <c r="K9" s="270"/>
      <c r="L9" s="270"/>
      <c r="M9" s="270"/>
      <c r="N9" s="277">
        <f>P103</f>
        <v>0</v>
      </c>
      <c r="O9" s="277"/>
      <c r="P9" s="27"/>
    </row>
    <row r="10" spans="1:16" x14ac:dyDescent="0.2">
      <c r="A10" s="28"/>
      <c r="B10" s="29"/>
      <c r="C10" s="210"/>
      <c r="D10" s="19"/>
      <c r="E10" s="19"/>
      <c r="F10" s="19"/>
      <c r="G10" s="19"/>
      <c r="H10" s="19"/>
      <c r="I10" s="19"/>
      <c r="J10" s="19"/>
      <c r="K10" s="19"/>
      <c r="L10" s="25"/>
      <c r="M10" s="25"/>
      <c r="O10" s="73"/>
      <c r="P10" s="72" t="str">
        <f>A109</f>
        <v>Tāme sastādīta</v>
      </c>
    </row>
    <row r="11" spans="1:16" ht="10.8" thickBot="1" x14ac:dyDescent="0.25">
      <c r="A11" s="28"/>
      <c r="B11" s="29"/>
      <c r="C11" s="210"/>
      <c r="D11" s="19"/>
      <c r="E11" s="19"/>
      <c r="F11" s="19"/>
      <c r="G11" s="19"/>
      <c r="H11" s="19"/>
      <c r="I11" s="19"/>
      <c r="J11" s="19"/>
      <c r="K11" s="19"/>
      <c r="L11" s="30"/>
      <c r="M11" s="30"/>
      <c r="N11" s="31"/>
      <c r="O11" s="22"/>
      <c r="P11" s="19"/>
    </row>
    <row r="12" spans="1:16" x14ac:dyDescent="0.2">
      <c r="A12" s="236" t="s">
        <v>29</v>
      </c>
      <c r="B12" s="272" t="s">
        <v>43</v>
      </c>
      <c r="C12" s="268" t="s">
        <v>44</v>
      </c>
      <c r="D12" s="275" t="s">
        <v>45</v>
      </c>
      <c r="E12" s="279" t="s">
        <v>46</v>
      </c>
      <c r="F12" s="267" t="s">
        <v>47</v>
      </c>
      <c r="G12" s="268"/>
      <c r="H12" s="268"/>
      <c r="I12" s="268"/>
      <c r="J12" s="268"/>
      <c r="K12" s="269"/>
      <c r="L12" s="267" t="s">
        <v>48</v>
      </c>
      <c r="M12" s="268"/>
      <c r="N12" s="268"/>
      <c r="O12" s="268"/>
      <c r="P12" s="269"/>
    </row>
    <row r="13" spans="1:16" ht="126.75" customHeight="1" thickBot="1" x14ac:dyDescent="0.25">
      <c r="A13" s="271"/>
      <c r="B13" s="273"/>
      <c r="C13" s="274"/>
      <c r="D13" s="276"/>
      <c r="E13" s="280"/>
      <c r="F13" s="214" t="s">
        <v>49</v>
      </c>
      <c r="G13" s="215" t="s">
        <v>50</v>
      </c>
      <c r="H13" s="215" t="s">
        <v>51</v>
      </c>
      <c r="I13" s="215" t="s">
        <v>52</v>
      </c>
      <c r="J13" s="215" t="s">
        <v>53</v>
      </c>
      <c r="K13" s="51" t="s">
        <v>54</v>
      </c>
      <c r="L13" s="214" t="s">
        <v>49</v>
      </c>
      <c r="M13" s="215" t="s">
        <v>51</v>
      </c>
      <c r="N13" s="215" t="s">
        <v>52</v>
      </c>
      <c r="O13" s="215" t="s">
        <v>53</v>
      </c>
      <c r="P13" s="51" t="s">
        <v>54</v>
      </c>
    </row>
    <row r="14" spans="1:16" ht="13.2" x14ac:dyDescent="0.2">
      <c r="A14" s="121"/>
      <c r="B14" s="122"/>
      <c r="C14" s="123" t="s">
        <v>435</v>
      </c>
      <c r="D14" s="124"/>
      <c r="E14" s="125"/>
      <c r="F14" s="126"/>
      <c r="G14" s="127"/>
      <c r="H14" s="127"/>
      <c r="I14" s="127"/>
      <c r="J14" s="127"/>
      <c r="K14" s="150"/>
      <c r="L14" s="106"/>
      <c r="M14" s="89"/>
      <c r="N14" s="89"/>
      <c r="O14" s="89"/>
      <c r="P14" s="90"/>
    </row>
    <row r="15" spans="1:16" ht="13.2" x14ac:dyDescent="0.2">
      <c r="A15" s="189">
        <v>1</v>
      </c>
      <c r="B15" s="190" t="s">
        <v>56</v>
      </c>
      <c r="C15" s="195" t="s">
        <v>436</v>
      </c>
      <c r="D15" s="190" t="s">
        <v>437</v>
      </c>
      <c r="E15" s="196">
        <v>1</v>
      </c>
      <c r="F15" s="133"/>
      <c r="G15" s="134"/>
      <c r="H15" s="135">
        <f t="shared" ref="H15:H78" si="0">ROUND(F15*G15,2)</f>
        <v>0</v>
      </c>
      <c r="I15" s="134"/>
      <c r="J15" s="134"/>
      <c r="K15" s="134">
        <f t="shared" ref="K15:K94" si="1">ROUND(H15+J15+I15,2)</f>
        <v>0</v>
      </c>
      <c r="L15" s="105">
        <f t="shared" ref="L15" si="2">ROUND(E15*F15,2)</f>
        <v>0</v>
      </c>
      <c r="M15" s="87">
        <f t="shared" ref="M15" si="3">ROUND(E15*H15,2)</f>
        <v>0</v>
      </c>
      <c r="N15" s="87">
        <f t="shared" ref="N15" si="4">ROUND(E15*I15,2)</f>
        <v>0</v>
      </c>
      <c r="O15" s="87">
        <f t="shared" ref="O15" si="5">ROUND(E15*J15,2)</f>
        <v>0</v>
      </c>
      <c r="P15" s="88">
        <f t="shared" ref="P15" si="6">ROUND(O15+N15+M15,2)</f>
        <v>0</v>
      </c>
    </row>
    <row r="16" spans="1:16" ht="26.4" x14ac:dyDescent="0.2">
      <c r="A16" s="189">
        <v>2</v>
      </c>
      <c r="B16" s="190" t="s">
        <v>56</v>
      </c>
      <c r="C16" s="195" t="s">
        <v>438</v>
      </c>
      <c r="D16" s="190" t="s">
        <v>58</v>
      </c>
      <c r="E16" s="196">
        <v>1500</v>
      </c>
      <c r="F16" s="133"/>
      <c r="G16" s="134"/>
      <c r="H16" s="135">
        <f t="shared" si="0"/>
        <v>0</v>
      </c>
      <c r="I16" s="134"/>
      <c r="J16" s="134"/>
      <c r="K16" s="134">
        <f t="shared" si="1"/>
        <v>0</v>
      </c>
      <c r="L16" s="105">
        <f t="shared" ref="L16:L79" si="7">ROUND(E16*F16,2)</f>
        <v>0</v>
      </c>
      <c r="M16" s="87">
        <f t="shared" ref="M16:M79" si="8">ROUND(E16*H16,2)</f>
        <v>0</v>
      </c>
      <c r="N16" s="87">
        <f t="shared" ref="N16:N79" si="9">ROUND(E16*I16,2)</f>
        <v>0</v>
      </c>
      <c r="O16" s="87">
        <f t="shared" ref="O16:O79" si="10">ROUND(E16*J16,2)</f>
        <v>0</v>
      </c>
      <c r="P16" s="88">
        <f t="shared" ref="P16:P79" si="11">ROUND(O16+N16+M16,2)</f>
        <v>0</v>
      </c>
    </row>
    <row r="17" spans="1:16" ht="26.4" x14ac:dyDescent="0.2">
      <c r="A17" s="189">
        <v>3</v>
      </c>
      <c r="B17" s="190" t="s">
        <v>56</v>
      </c>
      <c r="C17" s="195" t="s">
        <v>439</v>
      </c>
      <c r="D17" s="190" t="s">
        <v>58</v>
      </c>
      <c r="E17" s="196">
        <v>360</v>
      </c>
      <c r="F17" s="133"/>
      <c r="G17" s="134"/>
      <c r="H17" s="135">
        <f t="shared" si="0"/>
        <v>0</v>
      </c>
      <c r="I17" s="134"/>
      <c r="J17" s="134"/>
      <c r="K17" s="134">
        <f t="shared" si="1"/>
        <v>0</v>
      </c>
      <c r="L17" s="105">
        <f t="shared" si="7"/>
        <v>0</v>
      </c>
      <c r="M17" s="87">
        <f t="shared" si="8"/>
        <v>0</v>
      </c>
      <c r="N17" s="87">
        <f t="shared" si="9"/>
        <v>0</v>
      </c>
      <c r="O17" s="87">
        <f t="shared" si="10"/>
        <v>0</v>
      </c>
      <c r="P17" s="88">
        <f t="shared" si="11"/>
        <v>0</v>
      </c>
    </row>
    <row r="18" spans="1:16" ht="26.4" x14ac:dyDescent="0.2">
      <c r="A18" s="189">
        <v>4</v>
      </c>
      <c r="B18" s="190" t="s">
        <v>56</v>
      </c>
      <c r="C18" s="195" t="s">
        <v>440</v>
      </c>
      <c r="D18" s="190" t="s">
        <v>58</v>
      </c>
      <c r="E18" s="196">
        <v>162</v>
      </c>
      <c r="F18" s="133"/>
      <c r="G18" s="134"/>
      <c r="H18" s="135">
        <f t="shared" si="0"/>
        <v>0</v>
      </c>
      <c r="I18" s="134"/>
      <c r="J18" s="134"/>
      <c r="K18" s="134">
        <f t="shared" si="1"/>
        <v>0</v>
      </c>
      <c r="L18" s="105">
        <f t="shared" si="7"/>
        <v>0</v>
      </c>
      <c r="M18" s="87">
        <f t="shared" si="8"/>
        <v>0</v>
      </c>
      <c r="N18" s="87">
        <f t="shared" si="9"/>
        <v>0</v>
      </c>
      <c r="O18" s="87">
        <f t="shared" si="10"/>
        <v>0</v>
      </c>
      <c r="P18" s="88">
        <f t="shared" si="11"/>
        <v>0</v>
      </c>
    </row>
    <row r="19" spans="1:16" ht="26.4" x14ac:dyDescent="0.2">
      <c r="A19" s="189">
        <v>5</v>
      </c>
      <c r="B19" s="190" t="s">
        <v>56</v>
      </c>
      <c r="C19" s="195" t="s">
        <v>441</v>
      </c>
      <c r="D19" s="190" t="s">
        <v>58</v>
      </c>
      <c r="E19" s="196">
        <v>195</v>
      </c>
      <c r="F19" s="133"/>
      <c r="G19" s="134"/>
      <c r="H19" s="135">
        <f t="shared" si="0"/>
        <v>0</v>
      </c>
      <c r="I19" s="134"/>
      <c r="J19" s="134"/>
      <c r="K19" s="134">
        <f t="shared" si="1"/>
        <v>0</v>
      </c>
      <c r="L19" s="105">
        <f t="shared" si="7"/>
        <v>0</v>
      </c>
      <c r="M19" s="87">
        <f t="shared" si="8"/>
        <v>0</v>
      </c>
      <c r="N19" s="87">
        <f t="shared" si="9"/>
        <v>0</v>
      </c>
      <c r="O19" s="87">
        <f t="shared" si="10"/>
        <v>0</v>
      </c>
      <c r="P19" s="88">
        <f t="shared" si="11"/>
        <v>0</v>
      </c>
    </row>
    <row r="20" spans="1:16" ht="26.4" x14ac:dyDescent="0.2">
      <c r="A20" s="189">
        <v>6</v>
      </c>
      <c r="B20" s="190" t="s">
        <v>56</v>
      </c>
      <c r="C20" s="195" t="s">
        <v>442</v>
      </c>
      <c r="D20" s="190" t="s">
        <v>58</v>
      </c>
      <c r="E20" s="196">
        <v>150</v>
      </c>
      <c r="F20" s="133"/>
      <c r="G20" s="134"/>
      <c r="H20" s="135">
        <f t="shared" si="0"/>
        <v>0</v>
      </c>
      <c r="I20" s="134"/>
      <c r="J20" s="134"/>
      <c r="K20" s="134">
        <f t="shared" si="1"/>
        <v>0</v>
      </c>
      <c r="L20" s="105">
        <f t="shared" si="7"/>
        <v>0</v>
      </c>
      <c r="M20" s="87">
        <f t="shared" si="8"/>
        <v>0</v>
      </c>
      <c r="N20" s="87">
        <f t="shared" si="9"/>
        <v>0</v>
      </c>
      <c r="O20" s="87">
        <f t="shared" si="10"/>
        <v>0</v>
      </c>
      <c r="P20" s="88">
        <f t="shared" si="11"/>
        <v>0</v>
      </c>
    </row>
    <row r="21" spans="1:16" ht="26.4" x14ac:dyDescent="0.2">
      <c r="A21" s="189">
        <v>7</v>
      </c>
      <c r="B21" s="190" t="s">
        <v>56</v>
      </c>
      <c r="C21" s="197" t="s">
        <v>443</v>
      </c>
      <c r="D21" s="198" t="s">
        <v>58</v>
      </c>
      <c r="E21" s="196">
        <v>30</v>
      </c>
      <c r="F21" s="133"/>
      <c r="G21" s="134"/>
      <c r="H21" s="135">
        <f t="shared" si="0"/>
        <v>0</v>
      </c>
      <c r="I21" s="134"/>
      <c r="J21" s="134"/>
      <c r="K21" s="134">
        <f t="shared" si="1"/>
        <v>0</v>
      </c>
      <c r="L21" s="105">
        <f t="shared" si="7"/>
        <v>0</v>
      </c>
      <c r="M21" s="87">
        <f t="shared" si="8"/>
        <v>0</v>
      </c>
      <c r="N21" s="87">
        <f t="shared" si="9"/>
        <v>0</v>
      </c>
      <c r="O21" s="87">
        <f t="shared" si="10"/>
        <v>0</v>
      </c>
      <c r="P21" s="88">
        <f t="shared" si="11"/>
        <v>0</v>
      </c>
    </row>
    <row r="22" spans="1:16" ht="26.4" x14ac:dyDescent="0.2">
      <c r="A22" s="189">
        <v>8</v>
      </c>
      <c r="B22" s="190" t="s">
        <v>56</v>
      </c>
      <c r="C22" s="197" t="s">
        <v>444</v>
      </c>
      <c r="D22" s="198" t="s">
        <v>58</v>
      </c>
      <c r="E22" s="196">
        <v>20</v>
      </c>
      <c r="F22" s="133"/>
      <c r="G22" s="134"/>
      <c r="H22" s="135">
        <f t="shared" si="0"/>
        <v>0</v>
      </c>
      <c r="I22" s="134"/>
      <c r="J22" s="134"/>
      <c r="K22" s="134">
        <f t="shared" si="1"/>
        <v>0</v>
      </c>
      <c r="L22" s="105">
        <f t="shared" si="7"/>
        <v>0</v>
      </c>
      <c r="M22" s="87">
        <f t="shared" si="8"/>
        <v>0</v>
      </c>
      <c r="N22" s="87">
        <f t="shared" si="9"/>
        <v>0</v>
      </c>
      <c r="O22" s="87">
        <f t="shared" si="10"/>
        <v>0</v>
      </c>
      <c r="P22" s="88">
        <f t="shared" si="11"/>
        <v>0</v>
      </c>
    </row>
    <row r="23" spans="1:16" ht="13.2" x14ac:dyDescent="0.2">
      <c r="A23" s="189">
        <v>9</v>
      </c>
      <c r="B23" s="190" t="s">
        <v>56</v>
      </c>
      <c r="C23" s="195" t="s">
        <v>445</v>
      </c>
      <c r="D23" s="190" t="s">
        <v>62</v>
      </c>
      <c r="E23" s="196">
        <v>1579</v>
      </c>
      <c r="F23" s="133"/>
      <c r="G23" s="134"/>
      <c r="H23" s="135">
        <f t="shared" si="0"/>
        <v>0</v>
      </c>
      <c r="I23" s="134"/>
      <c r="J23" s="134"/>
      <c r="K23" s="134">
        <f t="shared" si="1"/>
        <v>0</v>
      </c>
      <c r="L23" s="105">
        <f t="shared" si="7"/>
        <v>0</v>
      </c>
      <c r="M23" s="87">
        <f t="shared" si="8"/>
        <v>0</v>
      </c>
      <c r="N23" s="87">
        <f t="shared" si="9"/>
        <v>0</v>
      </c>
      <c r="O23" s="87">
        <f t="shared" si="10"/>
        <v>0</v>
      </c>
      <c r="P23" s="88">
        <f t="shared" si="11"/>
        <v>0</v>
      </c>
    </row>
    <row r="24" spans="1:16" ht="13.2" x14ac:dyDescent="0.2">
      <c r="A24" s="189">
        <v>10</v>
      </c>
      <c r="B24" s="190" t="s">
        <v>56</v>
      </c>
      <c r="C24" s="199" t="s">
        <v>446</v>
      </c>
      <c r="D24" s="198" t="s">
        <v>62</v>
      </c>
      <c r="E24" s="196">
        <v>16</v>
      </c>
      <c r="F24" s="133"/>
      <c r="G24" s="134"/>
      <c r="H24" s="135">
        <f t="shared" si="0"/>
        <v>0</v>
      </c>
      <c r="I24" s="134"/>
      <c r="J24" s="134"/>
      <c r="K24" s="134">
        <f t="shared" si="1"/>
        <v>0</v>
      </c>
      <c r="L24" s="105">
        <f t="shared" si="7"/>
        <v>0</v>
      </c>
      <c r="M24" s="87">
        <f t="shared" si="8"/>
        <v>0</v>
      </c>
      <c r="N24" s="87">
        <f t="shared" si="9"/>
        <v>0</v>
      </c>
      <c r="O24" s="87">
        <f t="shared" si="10"/>
        <v>0</v>
      </c>
      <c r="P24" s="88">
        <f t="shared" si="11"/>
        <v>0</v>
      </c>
    </row>
    <row r="25" spans="1:16" ht="13.2" x14ac:dyDescent="0.2">
      <c r="A25" s="189">
        <v>11</v>
      </c>
      <c r="B25" s="190" t="s">
        <v>56</v>
      </c>
      <c r="C25" s="199" t="s">
        <v>447</v>
      </c>
      <c r="D25" s="198" t="s">
        <v>62</v>
      </c>
      <c r="E25" s="196">
        <v>37</v>
      </c>
      <c r="F25" s="133"/>
      <c r="G25" s="134"/>
      <c r="H25" s="135">
        <f t="shared" si="0"/>
        <v>0</v>
      </c>
      <c r="I25" s="134"/>
      <c r="J25" s="134"/>
      <c r="K25" s="134">
        <f t="shared" si="1"/>
        <v>0</v>
      </c>
      <c r="L25" s="105">
        <f t="shared" si="7"/>
        <v>0</v>
      </c>
      <c r="M25" s="87">
        <f t="shared" si="8"/>
        <v>0</v>
      </c>
      <c r="N25" s="87">
        <f t="shared" si="9"/>
        <v>0</v>
      </c>
      <c r="O25" s="87">
        <f t="shared" si="10"/>
        <v>0</v>
      </c>
      <c r="P25" s="88">
        <f t="shared" si="11"/>
        <v>0</v>
      </c>
    </row>
    <row r="26" spans="1:16" ht="13.2" x14ac:dyDescent="0.2">
      <c r="A26" s="189">
        <v>12</v>
      </c>
      <c r="B26" s="190" t="s">
        <v>56</v>
      </c>
      <c r="C26" s="195" t="s">
        <v>448</v>
      </c>
      <c r="D26" s="190" t="s">
        <v>62</v>
      </c>
      <c r="E26" s="196">
        <v>14</v>
      </c>
      <c r="F26" s="133"/>
      <c r="G26" s="134"/>
      <c r="H26" s="135">
        <f t="shared" si="0"/>
        <v>0</v>
      </c>
      <c r="I26" s="134"/>
      <c r="J26" s="134"/>
      <c r="K26" s="134">
        <f t="shared" si="1"/>
        <v>0</v>
      </c>
      <c r="L26" s="105">
        <f t="shared" si="7"/>
        <v>0</v>
      </c>
      <c r="M26" s="87">
        <f t="shared" si="8"/>
        <v>0</v>
      </c>
      <c r="N26" s="87">
        <f t="shared" si="9"/>
        <v>0</v>
      </c>
      <c r="O26" s="87">
        <f t="shared" si="10"/>
        <v>0</v>
      </c>
      <c r="P26" s="88">
        <f t="shared" si="11"/>
        <v>0</v>
      </c>
    </row>
    <row r="27" spans="1:16" ht="13.2" x14ac:dyDescent="0.2">
      <c r="A27" s="189">
        <v>13</v>
      </c>
      <c r="B27" s="190" t="s">
        <v>56</v>
      </c>
      <c r="C27" s="195" t="s">
        <v>449</v>
      </c>
      <c r="D27" s="190" t="s">
        <v>62</v>
      </c>
      <c r="E27" s="196">
        <v>2</v>
      </c>
      <c r="F27" s="133"/>
      <c r="G27" s="134"/>
      <c r="H27" s="135">
        <f t="shared" si="0"/>
        <v>0</v>
      </c>
      <c r="I27" s="134"/>
      <c r="J27" s="134"/>
      <c r="K27" s="134">
        <f t="shared" si="1"/>
        <v>0</v>
      </c>
      <c r="L27" s="105">
        <f t="shared" si="7"/>
        <v>0</v>
      </c>
      <c r="M27" s="87">
        <f t="shared" si="8"/>
        <v>0</v>
      </c>
      <c r="N27" s="87">
        <f t="shared" si="9"/>
        <v>0</v>
      </c>
      <c r="O27" s="87">
        <f t="shared" si="10"/>
        <v>0</v>
      </c>
      <c r="P27" s="88">
        <f t="shared" si="11"/>
        <v>0</v>
      </c>
    </row>
    <row r="28" spans="1:16" ht="13.2" x14ac:dyDescent="0.2">
      <c r="A28" s="189">
        <v>14</v>
      </c>
      <c r="B28" s="190" t="s">
        <v>56</v>
      </c>
      <c r="C28" s="195" t="s">
        <v>450</v>
      </c>
      <c r="D28" s="190" t="s">
        <v>62</v>
      </c>
      <c r="E28" s="196">
        <v>104</v>
      </c>
      <c r="F28" s="133"/>
      <c r="G28" s="134"/>
      <c r="H28" s="135">
        <f t="shared" si="0"/>
        <v>0</v>
      </c>
      <c r="I28" s="134"/>
      <c r="J28" s="134"/>
      <c r="K28" s="134">
        <f t="shared" si="1"/>
        <v>0</v>
      </c>
      <c r="L28" s="105">
        <f t="shared" si="7"/>
        <v>0</v>
      </c>
      <c r="M28" s="87">
        <f t="shared" si="8"/>
        <v>0</v>
      </c>
      <c r="N28" s="87">
        <f t="shared" si="9"/>
        <v>0</v>
      </c>
      <c r="O28" s="87">
        <f t="shared" si="10"/>
        <v>0</v>
      </c>
      <c r="P28" s="88">
        <f t="shared" si="11"/>
        <v>0</v>
      </c>
    </row>
    <row r="29" spans="1:16" ht="13.2" x14ac:dyDescent="0.2">
      <c r="A29" s="189">
        <v>15</v>
      </c>
      <c r="B29" s="190" t="s">
        <v>56</v>
      </c>
      <c r="C29" s="195" t="s">
        <v>451</v>
      </c>
      <c r="D29" s="190" t="s">
        <v>62</v>
      </c>
      <c r="E29" s="196">
        <v>32</v>
      </c>
      <c r="F29" s="133"/>
      <c r="G29" s="134"/>
      <c r="H29" s="135">
        <f t="shared" si="0"/>
        <v>0</v>
      </c>
      <c r="I29" s="134"/>
      <c r="J29" s="134"/>
      <c r="K29" s="134">
        <f t="shared" si="1"/>
        <v>0</v>
      </c>
      <c r="L29" s="105">
        <f t="shared" si="7"/>
        <v>0</v>
      </c>
      <c r="M29" s="87">
        <f t="shared" si="8"/>
        <v>0</v>
      </c>
      <c r="N29" s="87">
        <f t="shared" si="9"/>
        <v>0</v>
      </c>
      <c r="O29" s="87">
        <f t="shared" si="10"/>
        <v>0</v>
      </c>
      <c r="P29" s="88">
        <f t="shared" si="11"/>
        <v>0</v>
      </c>
    </row>
    <row r="30" spans="1:16" ht="13.2" x14ac:dyDescent="0.2">
      <c r="A30" s="189">
        <v>16</v>
      </c>
      <c r="B30" s="190" t="s">
        <v>56</v>
      </c>
      <c r="C30" s="195" t="s">
        <v>452</v>
      </c>
      <c r="D30" s="190" t="s">
        <v>62</v>
      </c>
      <c r="E30" s="196">
        <v>14</v>
      </c>
      <c r="F30" s="133"/>
      <c r="G30" s="134"/>
      <c r="H30" s="135">
        <f t="shared" si="0"/>
        <v>0</v>
      </c>
      <c r="I30" s="134"/>
      <c r="J30" s="134"/>
      <c r="K30" s="134">
        <f t="shared" si="1"/>
        <v>0</v>
      </c>
      <c r="L30" s="105">
        <f t="shared" si="7"/>
        <v>0</v>
      </c>
      <c r="M30" s="87">
        <f t="shared" si="8"/>
        <v>0</v>
      </c>
      <c r="N30" s="87">
        <f t="shared" si="9"/>
        <v>0</v>
      </c>
      <c r="O30" s="87">
        <f t="shared" si="10"/>
        <v>0</v>
      </c>
      <c r="P30" s="88">
        <f t="shared" si="11"/>
        <v>0</v>
      </c>
    </row>
    <row r="31" spans="1:16" ht="13.2" x14ac:dyDescent="0.2">
      <c r="A31" s="189">
        <v>17</v>
      </c>
      <c r="B31" s="190" t="s">
        <v>56</v>
      </c>
      <c r="C31" s="195" t="s">
        <v>453</v>
      </c>
      <c r="D31" s="190" t="s">
        <v>62</v>
      </c>
      <c r="E31" s="196">
        <v>15</v>
      </c>
      <c r="F31" s="133"/>
      <c r="G31" s="134"/>
      <c r="H31" s="135">
        <f t="shared" si="0"/>
        <v>0</v>
      </c>
      <c r="I31" s="134"/>
      <c r="J31" s="134"/>
      <c r="K31" s="134">
        <f t="shared" si="1"/>
        <v>0</v>
      </c>
      <c r="L31" s="105">
        <f t="shared" si="7"/>
        <v>0</v>
      </c>
      <c r="M31" s="87">
        <f t="shared" si="8"/>
        <v>0</v>
      </c>
      <c r="N31" s="87">
        <f t="shared" si="9"/>
        <v>0</v>
      </c>
      <c r="O31" s="87">
        <f t="shared" si="10"/>
        <v>0</v>
      </c>
      <c r="P31" s="88">
        <f t="shared" si="11"/>
        <v>0</v>
      </c>
    </row>
    <row r="32" spans="1:16" ht="13.2" x14ac:dyDescent="0.2">
      <c r="A32" s="189">
        <v>18</v>
      </c>
      <c r="B32" s="190" t="s">
        <v>56</v>
      </c>
      <c r="C32" s="195" t="s">
        <v>454</v>
      </c>
      <c r="D32" s="190" t="s">
        <v>62</v>
      </c>
      <c r="E32" s="196">
        <v>2</v>
      </c>
      <c r="F32" s="133"/>
      <c r="G32" s="134"/>
      <c r="H32" s="135">
        <f t="shared" si="0"/>
        <v>0</v>
      </c>
      <c r="I32" s="134"/>
      <c r="J32" s="134"/>
      <c r="K32" s="134">
        <f t="shared" si="1"/>
        <v>0</v>
      </c>
      <c r="L32" s="105">
        <f t="shared" si="7"/>
        <v>0</v>
      </c>
      <c r="M32" s="87">
        <f t="shared" si="8"/>
        <v>0</v>
      </c>
      <c r="N32" s="87">
        <f t="shared" si="9"/>
        <v>0</v>
      </c>
      <c r="O32" s="87">
        <f t="shared" si="10"/>
        <v>0</v>
      </c>
      <c r="P32" s="88">
        <f t="shared" si="11"/>
        <v>0</v>
      </c>
    </row>
    <row r="33" spans="1:16" ht="13.2" x14ac:dyDescent="0.2">
      <c r="A33" s="189">
        <v>19</v>
      </c>
      <c r="B33" s="190" t="s">
        <v>56</v>
      </c>
      <c r="C33" s="195" t="s">
        <v>455</v>
      </c>
      <c r="D33" s="190" t="s">
        <v>62</v>
      </c>
      <c r="E33" s="196">
        <v>46</v>
      </c>
      <c r="F33" s="133"/>
      <c r="G33" s="134"/>
      <c r="H33" s="135">
        <f t="shared" si="0"/>
        <v>0</v>
      </c>
      <c r="I33" s="134"/>
      <c r="J33" s="134"/>
      <c r="K33" s="134">
        <f t="shared" si="1"/>
        <v>0</v>
      </c>
      <c r="L33" s="105">
        <f t="shared" si="7"/>
        <v>0</v>
      </c>
      <c r="M33" s="87">
        <f t="shared" si="8"/>
        <v>0</v>
      </c>
      <c r="N33" s="87">
        <f t="shared" si="9"/>
        <v>0</v>
      </c>
      <c r="O33" s="87">
        <f t="shared" si="10"/>
        <v>0</v>
      </c>
      <c r="P33" s="88">
        <f t="shared" si="11"/>
        <v>0</v>
      </c>
    </row>
    <row r="34" spans="1:16" ht="13.2" x14ac:dyDescent="0.2">
      <c r="A34" s="189">
        <v>20</v>
      </c>
      <c r="B34" s="190" t="s">
        <v>56</v>
      </c>
      <c r="C34" s="195" t="s">
        <v>456</v>
      </c>
      <c r="D34" s="190" t="s">
        <v>62</v>
      </c>
      <c r="E34" s="196">
        <v>2</v>
      </c>
      <c r="F34" s="133"/>
      <c r="G34" s="134"/>
      <c r="H34" s="135">
        <f t="shared" si="0"/>
        <v>0</v>
      </c>
      <c r="I34" s="134"/>
      <c r="J34" s="134"/>
      <c r="K34" s="134">
        <f t="shared" si="1"/>
        <v>0</v>
      </c>
      <c r="L34" s="105">
        <f t="shared" si="7"/>
        <v>0</v>
      </c>
      <c r="M34" s="87">
        <f t="shared" si="8"/>
        <v>0</v>
      </c>
      <c r="N34" s="87">
        <f t="shared" si="9"/>
        <v>0</v>
      </c>
      <c r="O34" s="87">
        <f t="shared" si="10"/>
        <v>0</v>
      </c>
      <c r="P34" s="88">
        <f t="shared" si="11"/>
        <v>0</v>
      </c>
    </row>
    <row r="35" spans="1:16" ht="13.2" x14ac:dyDescent="0.2">
      <c r="A35" s="189">
        <v>21</v>
      </c>
      <c r="B35" s="190" t="s">
        <v>56</v>
      </c>
      <c r="C35" s="195" t="s">
        <v>457</v>
      </c>
      <c r="D35" s="190" t="s">
        <v>62</v>
      </c>
      <c r="E35" s="196">
        <v>8</v>
      </c>
      <c r="F35" s="133"/>
      <c r="G35" s="134"/>
      <c r="H35" s="135">
        <f t="shared" si="0"/>
        <v>0</v>
      </c>
      <c r="I35" s="134"/>
      <c r="J35" s="134"/>
      <c r="K35" s="134">
        <f t="shared" si="1"/>
        <v>0</v>
      </c>
      <c r="L35" s="105">
        <f t="shared" si="7"/>
        <v>0</v>
      </c>
      <c r="M35" s="87">
        <f t="shared" si="8"/>
        <v>0</v>
      </c>
      <c r="N35" s="87">
        <f t="shared" si="9"/>
        <v>0</v>
      </c>
      <c r="O35" s="87">
        <f t="shared" si="10"/>
        <v>0</v>
      </c>
      <c r="P35" s="88">
        <f t="shared" si="11"/>
        <v>0</v>
      </c>
    </row>
    <row r="36" spans="1:16" ht="13.2" x14ac:dyDescent="0.2">
      <c r="A36" s="189">
        <v>22</v>
      </c>
      <c r="B36" s="190" t="s">
        <v>56</v>
      </c>
      <c r="C36" s="199" t="s">
        <v>458</v>
      </c>
      <c r="D36" s="198" t="s">
        <v>62</v>
      </c>
      <c r="E36" s="196">
        <v>2</v>
      </c>
      <c r="F36" s="133"/>
      <c r="G36" s="134"/>
      <c r="H36" s="135">
        <f t="shared" si="0"/>
        <v>0</v>
      </c>
      <c r="I36" s="134"/>
      <c r="J36" s="134"/>
      <c r="K36" s="134">
        <f t="shared" si="1"/>
        <v>0</v>
      </c>
      <c r="L36" s="105">
        <f t="shared" si="7"/>
        <v>0</v>
      </c>
      <c r="M36" s="87">
        <f t="shared" si="8"/>
        <v>0</v>
      </c>
      <c r="N36" s="87">
        <f t="shared" si="9"/>
        <v>0</v>
      </c>
      <c r="O36" s="87">
        <f t="shared" si="10"/>
        <v>0</v>
      </c>
      <c r="P36" s="88">
        <f t="shared" si="11"/>
        <v>0</v>
      </c>
    </row>
    <row r="37" spans="1:16" ht="13.2" x14ac:dyDescent="0.2">
      <c r="A37" s="189">
        <v>23</v>
      </c>
      <c r="B37" s="190" t="s">
        <v>56</v>
      </c>
      <c r="C37" s="199" t="s">
        <v>459</v>
      </c>
      <c r="D37" s="198" t="s">
        <v>62</v>
      </c>
      <c r="E37" s="196">
        <v>16</v>
      </c>
      <c r="F37" s="133"/>
      <c r="G37" s="134"/>
      <c r="H37" s="135">
        <f t="shared" si="0"/>
        <v>0</v>
      </c>
      <c r="I37" s="134"/>
      <c r="J37" s="134"/>
      <c r="K37" s="134">
        <f t="shared" si="1"/>
        <v>0</v>
      </c>
      <c r="L37" s="105">
        <f t="shared" si="7"/>
        <v>0</v>
      </c>
      <c r="M37" s="87">
        <f t="shared" si="8"/>
        <v>0</v>
      </c>
      <c r="N37" s="87">
        <f t="shared" si="9"/>
        <v>0</v>
      </c>
      <c r="O37" s="87">
        <f t="shared" si="10"/>
        <v>0</v>
      </c>
      <c r="P37" s="88">
        <f t="shared" si="11"/>
        <v>0</v>
      </c>
    </row>
    <row r="38" spans="1:16" ht="13.2" x14ac:dyDescent="0.2">
      <c r="A38" s="189">
        <v>24</v>
      </c>
      <c r="B38" s="190" t="s">
        <v>56</v>
      </c>
      <c r="C38" s="199" t="s">
        <v>460</v>
      </c>
      <c r="D38" s="198" t="s">
        <v>62</v>
      </c>
      <c r="E38" s="196">
        <v>5</v>
      </c>
      <c r="F38" s="133"/>
      <c r="G38" s="134"/>
      <c r="H38" s="135">
        <f t="shared" si="0"/>
        <v>0</v>
      </c>
      <c r="I38" s="134"/>
      <c r="J38" s="134"/>
      <c r="K38" s="134">
        <f t="shared" si="1"/>
        <v>0</v>
      </c>
      <c r="L38" s="105">
        <f t="shared" si="7"/>
        <v>0</v>
      </c>
      <c r="M38" s="87">
        <f t="shared" si="8"/>
        <v>0</v>
      </c>
      <c r="N38" s="87">
        <f t="shared" si="9"/>
        <v>0</v>
      </c>
      <c r="O38" s="87">
        <f t="shared" si="10"/>
        <v>0</v>
      </c>
      <c r="P38" s="88">
        <f t="shared" si="11"/>
        <v>0</v>
      </c>
    </row>
    <row r="39" spans="1:16" ht="13.2" x14ac:dyDescent="0.2">
      <c r="A39" s="189">
        <v>25</v>
      </c>
      <c r="B39" s="190" t="s">
        <v>56</v>
      </c>
      <c r="C39" s="199" t="s">
        <v>461</v>
      </c>
      <c r="D39" s="198" t="s">
        <v>62</v>
      </c>
      <c r="E39" s="196">
        <v>2</v>
      </c>
      <c r="F39" s="133"/>
      <c r="G39" s="134"/>
      <c r="H39" s="135">
        <f t="shared" si="0"/>
        <v>0</v>
      </c>
      <c r="I39" s="134"/>
      <c r="J39" s="134"/>
      <c r="K39" s="134">
        <f t="shared" si="1"/>
        <v>0</v>
      </c>
      <c r="L39" s="105">
        <f t="shared" si="7"/>
        <v>0</v>
      </c>
      <c r="M39" s="87">
        <f t="shared" si="8"/>
        <v>0</v>
      </c>
      <c r="N39" s="87">
        <f t="shared" si="9"/>
        <v>0</v>
      </c>
      <c r="O39" s="87">
        <f t="shared" si="10"/>
        <v>0</v>
      </c>
      <c r="P39" s="88">
        <f t="shared" si="11"/>
        <v>0</v>
      </c>
    </row>
    <row r="40" spans="1:16" ht="13.2" x14ac:dyDescent="0.2">
      <c r="A40" s="189">
        <v>26</v>
      </c>
      <c r="B40" s="190" t="s">
        <v>56</v>
      </c>
      <c r="C40" s="199" t="s">
        <v>462</v>
      </c>
      <c r="D40" s="198" t="s">
        <v>62</v>
      </c>
      <c r="E40" s="196">
        <v>4</v>
      </c>
      <c r="F40" s="133"/>
      <c r="G40" s="134"/>
      <c r="H40" s="135">
        <f t="shared" si="0"/>
        <v>0</v>
      </c>
      <c r="I40" s="134"/>
      <c r="J40" s="134"/>
      <c r="K40" s="134">
        <f t="shared" si="1"/>
        <v>0</v>
      </c>
      <c r="L40" s="105">
        <f t="shared" si="7"/>
        <v>0</v>
      </c>
      <c r="M40" s="87">
        <f t="shared" si="8"/>
        <v>0</v>
      </c>
      <c r="N40" s="87">
        <f t="shared" si="9"/>
        <v>0</v>
      </c>
      <c r="O40" s="87">
        <f t="shared" si="10"/>
        <v>0</v>
      </c>
      <c r="P40" s="88">
        <f t="shared" si="11"/>
        <v>0</v>
      </c>
    </row>
    <row r="41" spans="1:16" ht="13.2" x14ac:dyDescent="0.2">
      <c r="A41" s="189">
        <v>27</v>
      </c>
      <c r="B41" s="190" t="s">
        <v>56</v>
      </c>
      <c r="C41" s="199" t="s">
        <v>463</v>
      </c>
      <c r="D41" s="198" t="s">
        <v>62</v>
      </c>
      <c r="E41" s="196">
        <v>22</v>
      </c>
      <c r="F41" s="133"/>
      <c r="G41" s="134"/>
      <c r="H41" s="135">
        <f t="shared" si="0"/>
        <v>0</v>
      </c>
      <c r="I41" s="134"/>
      <c r="J41" s="134"/>
      <c r="K41" s="134">
        <f t="shared" si="1"/>
        <v>0</v>
      </c>
      <c r="L41" s="105">
        <f t="shared" si="7"/>
        <v>0</v>
      </c>
      <c r="M41" s="87">
        <f t="shared" si="8"/>
        <v>0</v>
      </c>
      <c r="N41" s="87">
        <f t="shared" si="9"/>
        <v>0</v>
      </c>
      <c r="O41" s="87">
        <f t="shared" si="10"/>
        <v>0</v>
      </c>
      <c r="P41" s="88">
        <f t="shared" si="11"/>
        <v>0</v>
      </c>
    </row>
    <row r="42" spans="1:16" ht="13.2" x14ac:dyDescent="0.2">
      <c r="A42" s="189">
        <v>28</v>
      </c>
      <c r="B42" s="190" t="s">
        <v>56</v>
      </c>
      <c r="C42" s="199" t="s">
        <v>464</v>
      </c>
      <c r="D42" s="198" t="s">
        <v>62</v>
      </c>
      <c r="E42" s="196">
        <v>1</v>
      </c>
      <c r="F42" s="133"/>
      <c r="G42" s="134"/>
      <c r="H42" s="135">
        <f t="shared" si="0"/>
        <v>0</v>
      </c>
      <c r="I42" s="134"/>
      <c r="J42" s="134"/>
      <c r="K42" s="134">
        <f t="shared" si="1"/>
        <v>0</v>
      </c>
      <c r="L42" s="105">
        <f t="shared" si="7"/>
        <v>0</v>
      </c>
      <c r="M42" s="87">
        <f t="shared" si="8"/>
        <v>0</v>
      </c>
      <c r="N42" s="87">
        <f t="shared" si="9"/>
        <v>0</v>
      </c>
      <c r="O42" s="87">
        <f t="shared" si="10"/>
        <v>0</v>
      </c>
      <c r="P42" s="88">
        <f t="shared" si="11"/>
        <v>0</v>
      </c>
    </row>
    <row r="43" spans="1:16" ht="13.2" x14ac:dyDescent="0.2">
      <c r="A43" s="189">
        <v>29</v>
      </c>
      <c r="B43" s="190" t="s">
        <v>56</v>
      </c>
      <c r="C43" s="199" t="s">
        <v>465</v>
      </c>
      <c r="D43" s="198" t="s">
        <v>62</v>
      </c>
      <c r="E43" s="196">
        <v>4</v>
      </c>
      <c r="F43" s="133"/>
      <c r="G43" s="134"/>
      <c r="H43" s="135">
        <f t="shared" si="0"/>
        <v>0</v>
      </c>
      <c r="I43" s="134"/>
      <c r="J43" s="134"/>
      <c r="K43" s="134">
        <f t="shared" si="1"/>
        <v>0</v>
      </c>
      <c r="L43" s="105">
        <f t="shared" si="7"/>
        <v>0</v>
      </c>
      <c r="M43" s="87">
        <f t="shared" si="8"/>
        <v>0</v>
      </c>
      <c r="N43" s="87">
        <f t="shared" si="9"/>
        <v>0</v>
      </c>
      <c r="O43" s="87">
        <f t="shared" si="10"/>
        <v>0</v>
      </c>
      <c r="P43" s="88">
        <f t="shared" si="11"/>
        <v>0</v>
      </c>
    </row>
    <row r="44" spans="1:16" ht="13.2" x14ac:dyDescent="0.2">
      <c r="A44" s="189">
        <v>30</v>
      </c>
      <c r="B44" s="190" t="s">
        <v>56</v>
      </c>
      <c r="C44" s="199" t="s">
        <v>466</v>
      </c>
      <c r="D44" s="198" t="s">
        <v>62</v>
      </c>
      <c r="E44" s="196">
        <v>2</v>
      </c>
      <c r="F44" s="133"/>
      <c r="G44" s="134"/>
      <c r="H44" s="135">
        <f t="shared" si="0"/>
        <v>0</v>
      </c>
      <c r="I44" s="134"/>
      <c r="J44" s="134"/>
      <c r="K44" s="134">
        <f t="shared" si="1"/>
        <v>0</v>
      </c>
      <c r="L44" s="105">
        <f t="shared" si="7"/>
        <v>0</v>
      </c>
      <c r="M44" s="87">
        <f t="shared" si="8"/>
        <v>0</v>
      </c>
      <c r="N44" s="87">
        <f t="shared" si="9"/>
        <v>0</v>
      </c>
      <c r="O44" s="87">
        <f t="shared" si="10"/>
        <v>0</v>
      </c>
      <c r="P44" s="88">
        <f t="shared" si="11"/>
        <v>0</v>
      </c>
    </row>
    <row r="45" spans="1:16" ht="13.2" x14ac:dyDescent="0.2">
      <c r="A45" s="189">
        <v>31</v>
      </c>
      <c r="B45" s="190" t="s">
        <v>56</v>
      </c>
      <c r="C45" s="199" t="s">
        <v>467</v>
      </c>
      <c r="D45" s="198" t="s">
        <v>62</v>
      </c>
      <c r="E45" s="196">
        <v>2</v>
      </c>
      <c r="F45" s="133"/>
      <c r="G45" s="134"/>
      <c r="H45" s="135">
        <f t="shared" si="0"/>
        <v>0</v>
      </c>
      <c r="I45" s="134"/>
      <c r="J45" s="134"/>
      <c r="K45" s="134">
        <f t="shared" si="1"/>
        <v>0</v>
      </c>
      <c r="L45" s="105">
        <f t="shared" si="7"/>
        <v>0</v>
      </c>
      <c r="M45" s="87">
        <f t="shared" si="8"/>
        <v>0</v>
      </c>
      <c r="N45" s="87">
        <f t="shared" si="9"/>
        <v>0</v>
      </c>
      <c r="O45" s="87">
        <f t="shared" si="10"/>
        <v>0</v>
      </c>
      <c r="P45" s="88">
        <f t="shared" si="11"/>
        <v>0</v>
      </c>
    </row>
    <row r="46" spans="1:16" ht="13.2" x14ac:dyDescent="0.2">
      <c r="A46" s="189">
        <v>32</v>
      </c>
      <c r="B46" s="190" t="s">
        <v>56</v>
      </c>
      <c r="C46" s="199" t="s">
        <v>468</v>
      </c>
      <c r="D46" s="198" t="s">
        <v>62</v>
      </c>
      <c r="E46" s="196">
        <v>4</v>
      </c>
      <c r="F46" s="133"/>
      <c r="G46" s="134"/>
      <c r="H46" s="135">
        <f t="shared" si="0"/>
        <v>0</v>
      </c>
      <c r="I46" s="134"/>
      <c r="J46" s="134"/>
      <c r="K46" s="134">
        <f t="shared" si="1"/>
        <v>0</v>
      </c>
      <c r="L46" s="105">
        <f t="shared" si="7"/>
        <v>0</v>
      </c>
      <c r="M46" s="87">
        <f t="shared" si="8"/>
        <v>0</v>
      </c>
      <c r="N46" s="87">
        <f t="shared" si="9"/>
        <v>0</v>
      </c>
      <c r="O46" s="87">
        <f t="shared" si="10"/>
        <v>0</v>
      </c>
      <c r="P46" s="88">
        <f t="shared" si="11"/>
        <v>0</v>
      </c>
    </row>
    <row r="47" spans="1:16" ht="13.2" x14ac:dyDescent="0.2">
      <c r="A47" s="189">
        <v>33</v>
      </c>
      <c r="B47" s="190" t="s">
        <v>56</v>
      </c>
      <c r="C47" s="199" t="s">
        <v>469</v>
      </c>
      <c r="D47" s="198" t="s">
        <v>62</v>
      </c>
      <c r="E47" s="196">
        <v>4</v>
      </c>
      <c r="F47" s="133"/>
      <c r="G47" s="134"/>
      <c r="H47" s="135">
        <f t="shared" si="0"/>
        <v>0</v>
      </c>
      <c r="I47" s="134"/>
      <c r="J47" s="134"/>
      <c r="K47" s="134">
        <f t="shared" si="1"/>
        <v>0</v>
      </c>
      <c r="L47" s="105">
        <f t="shared" si="7"/>
        <v>0</v>
      </c>
      <c r="M47" s="87">
        <f t="shared" si="8"/>
        <v>0</v>
      </c>
      <c r="N47" s="87">
        <f t="shared" si="9"/>
        <v>0</v>
      </c>
      <c r="O47" s="87">
        <f t="shared" si="10"/>
        <v>0</v>
      </c>
      <c r="P47" s="88">
        <f t="shared" si="11"/>
        <v>0</v>
      </c>
    </row>
    <row r="48" spans="1:16" ht="13.2" x14ac:dyDescent="0.2">
      <c r="A48" s="189">
        <v>34</v>
      </c>
      <c r="B48" s="190" t="s">
        <v>56</v>
      </c>
      <c r="C48" s="199" t="s">
        <v>470</v>
      </c>
      <c r="D48" s="198" t="s">
        <v>62</v>
      </c>
      <c r="E48" s="196">
        <v>2</v>
      </c>
      <c r="F48" s="133"/>
      <c r="G48" s="134"/>
      <c r="H48" s="135">
        <f t="shared" si="0"/>
        <v>0</v>
      </c>
      <c r="I48" s="134"/>
      <c r="J48" s="134"/>
      <c r="K48" s="134">
        <f t="shared" si="1"/>
        <v>0</v>
      </c>
      <c r="L48" s="105">
        <f t="shared" si="7"/>
        <v>0</v>
      </c>
      <c r="M48" s="87">
        <f t="shared" si="8"/>
        <v>0</v>
      </c>
      <c r="N48" s="87">
        <f t="shared" si="9"/>
        <v>0</v>
      </c>
      <c r="O48" s="87">
        <f t="shared" si="10"/>
        <v>0</v>
      </c>
      <c r="P48" s="88">
        <f t="shared" si="11"/>
        <v>0</v>
      </c>
    </row>
    <row r="49" spans="1:16" ht="13.2" x14ac:dyDescent="0.2">
      <c r="A49" s="189">
        <v>35</v>
      </c>
      <c r="B49" s="190" t="s">
        <v>56</v>
      </c>
      <c r="C49" s="199" t="s">
        <v>471</v>
      </c>
      <c r="D49" s="198" t="s">
        <v>62</v>
      </c>
      <c r="E49" s="196">
        <v>38</v>
      </c>
      <c r="F49" s="133"/>
      <c r="G49" s="134"/>
      <c r="H49" s="135">
        <f t="shared" si="0"/>
        <v>0</v>
      </c>
      <c r="I49" s="134"/>
      <c r="J49" s="134"/>
      <c r="K49" s="134">
        <f t="shared" si="1"/>
        <v>0</v>
      </c>
      <c r="L49" s="105">
        <f t="shared" si="7"/>
        <v>0</v>
      </c>
      <c r="M49" s="87">
        <f t="shared" si="8"/>
        <v>0</v>
      </c>
      <c r="N49" s="87">
        <f t="shared" si="9"/>
        <v>0</v>
      </c>
      <c r="O49" s="87">
        <f t="shared" si="10"/>
        <v>0</v>
      </c>
      <c r="P49" s="88">
        <f t="shared" si="11"/>
        <v>0</v>
      </c>
    </row>
    <row r="50" spans="1:16" ht="26.4" x14ac:dyDescent="0.2">
      <c r="A50" s="189">
        <v>36</v>
      </c>
      <c r="B50" s="190" t="s">
        <v>56</v>
      </c>
      <c r="C50" s="200" t="s">
        <v>472</v>
      </c>
      <c r="D50" s="201" t="s">
        <v>62</v>
      </c>
      <c r="E50" s="132">
        <v>14</v>
      </c>
      <c r="F50" s="133"/>
      <c r="G50" s="134"/>
      <c r="H50" s="135">
        <f t="shared" si="0"/>
        <v>0</v>
      </c>
      <c r="I50" s="134"/>
      <c r="J50" s="134"/>
      <c r="K50" s="134">
        <f t="shared" si="1"/>
        <v>0</v>
      </c>
      <c r="L50" s="105">
        <f t="shared" si="7"/>
        <v>0</v>
      </c>
      <c r="M50" s="87">
        <f t="shared" si="8"/>
        <v>0</v>
      </c>
      <c r="N50" s="87">
        <f t="shared" si="9"/>
        <v>0</v>
      </c>
      <c r="O50" s="87">
        <f t="shared" si="10"/>
        <v>0</v>
      </c>
      <c r="P50" s="88">
        <f t="shared" si="11"/>
        <v>0</v>
      </c>
    </row>
    <row r="51" spans="1:16" ht="26.4" x14ac:dyDescent="0.2">
      <c r="A51" s="189">
        <v>37</v>
      </c>
      <c r="B51" s="190" t="s">
        <v>56</v>
      </c>
      <c r="C51" s="200" t="s">
        <v>473</v>
      </c>
      <c r="D51" s="201" t="s">
        <v>62</v>
      </c>
      <c r="E51" s="132">
        <v>28</v>
      </c>
      <c r="F51" s="133"/>
      <c r="G51" s="134"/>
      <c r="H51" s="135">
        <f t="shared" si="0"/>
        <v>0</v>
      </c>
      <c r="I51" s="134"/>
      <c r="J51" s="134"/>
      <c r="K51" s="134">
        <f t="shared" si="1"/>
        <v>0</v>
      </c>
      <c r="L51" s="105">
        <f t="shared" si="7"/>
        <v>0</v>
      </c>
      <c r="M51" s="87">
        <f t="shared" si="8"/>
        <v>0</v>
      </c>
      <c r="N51" s="87">
        <f t="shared" si="9"/>
        <v>0</v>
      </c>
      <c r="O51" s="87">
        <f t="shared" si="10"/>
        <v>0</v>
      </c>
      <c r="P51" s="88">
        <f t="shared" si="11"/>
        <v>0</v>
      </c>
    </row>
    <row r="52" spans="1:16" ht="13.2" x14ac:dyDescent="0.2">
      <c r="A52" s="189">
        <v>38</v>
      </c>
      <c r="B52" s="190" t="s">
        <v>56</v>
      </c>
      <c r="C52" s="195" t="s">
        <v>474</v>
      </c>
      <c r="D52" s="190" t="s">
        <v>62</v>
      </c>
      <c r="E52" s="196">
        <v>36</v>
      </c>
      <c r="F52" s="133"/>
      <c r="G52" s="134"/>
      <c r="H52" s="135">
        <f t="shared" si="0"/>
        <v>0</v>
      </c>
      <c r="I52" s="134"/>
      <c r="J52" s="134"/>
      <c r="K52" s="134">
        <f t="shared" si="1"/>
        <v>0</v>
      </c>
      <c r="L52" s="105">
        <f t="shared" si="7"/>
        <v>0</v>
      </c>
      <c r="M52" s="87">
        <f t="shared" si="8"/>
        <v>0</v>
      </c>
      <c r="N52" s="87">
        <f t="shared" si="9"/>
        <v>0</v>
      </c>
      <c r="O52" s="87">
        <f t="shared" si="10"/>
        <v>0</v>
      </c>
      <c r="P52" s="88">
        <f t="shared" si="11"/>
        <v>0</v>
      </c>
    </row>
    <row r="53" spans="1:16" ht="13.2" x14ac:dyDescent="0.2">
      <c r="A53" s="189">
        <v>39</v>
      </c>
      <c r="B53" s="190" t="s">
        <v>56</v>
      </c>
      <c r="C53" s="199" t="s">
        <v>475</v>
      </c>
      <c r="D53" s="198" t="s">
        <v>62</v>
      </c>
      <c r="E53" s="196">
        <v>48</v>
      </c>
      <c r="F53" s="133"/>
      <c r="G53" s="134"/>
      <c r="H53" s="135">
        <f t="shared" si="0"/>
        <v>0</v>
      </c>
      <c r="I53" s="134"/>
      <c r="J53" s="134"/>
      <c r="K53" s="134">
        <f t="shared" si="1"/>
        <v>0</v>
      </c>
      <c r="L53" s="105">
        <f t="shared" si="7"/>
        <v>0</v>
      </c>
      <c r="M53" s="87">
        <f t="shared" si="8"/>
        <v>0</v>
      </c>
      <c r="N53" s="87">
        <f t="shared" si="9"/>
        <v>0</v>
      </c>
      <c r="O53" s="87">
        <f t="shared" si="10"/>
        <v>0</v>
      </c>
      <c r="P53" s="88">
        <f t="shared" si="11"/>
        <v>0</v>
      </c>
    </row>
    <row r="54" spans="1:16" ht="13.2" x14ac:dyDescent="0.2">
      <c r="A54" s="189">
        <v>40</v>
      </c>
      <c r="B54" s="190" t="s">
        <v>56</v>
      </c>
      <c r="C54" s="195" t="s">
        <v>476</v>
      </c>
      <c r="D54" s="190" t="s">
        <v>62</v>
      </c>
      <c r="E54" s="196">
        <v>12</v>
      </c>
      <c r="F54" s="133"/>
      <c r="G54" s="134"/>
      <c r="H54" s="135">
        <f t="shared" si="0"/>
        <v>0</v>
      </c>
      <c r="I54" s="134"/>
      <c r="J54" s="134"/>
      <c r="K54" s="134">
        <f t="shared" si="1"/>
        <v>0</v>
      </c>
      <c r="L54" s="105">
        <f t="shared" si="7"/>
        <v>0</v>
      </c>
      <c r="M54" s="87">
        <f t="shared" si="8"/>
        <v>0</v>
      </c>
      <c r="N54" s="87">
        <f t="shared" si="9"/>
        <v>0</v>
      </c>
      <c r="O54" s="87">
        <f t="shared" si="10"/>
        <v>0</v>
      </c>
      <c r="P54" s="88">
        <f t="shared" si="11"/>
        <v>0</v>
      </c>
    </row>
    <row r="55" spans="1:16" ht="13.2" x14ac:dyDescent="0.2">
      <c r="A55" s="189">
        <v>41</v>
      </c>
      <c r="B55" s="190" t="s">
        <v>56</v>
      </c>
      <c r="C55" s="199" t="s">
        <v>477</v>
      </c>
      <c r="D55" s="198" t="s">
        <v>62</v>
      </c>
      <c r="E55" s="196">
        <v>3</v>
      </c>
      <c r="F55" s="133"/>
      <c r="G55" s="134"/>
      <c r="H55" s="135">
        <f t="shared" si="0"/>
        <v>0</v>
      </c>
      <c r="I55" s="134"/>
      <c r="J55" s="134"/>
      <c r="K55" s="134">
        <f t="shared" si="1"/>
        <v>0</v>
      </c>
      <c r="L55" s="105">
        <f t="shared" si="7"/>
        <v>0</v>
      </c>
      <c r="M55" s="87">
        <f t="shared" si="8"/>
        <v>0</v>
      </c>
      <c r="N55" s="87">
        <f t="shared" si="9"/>
        <v>0</v>
      </c>
      <c r="O55" s="87">
        <f t="shared" si="10"/>
        <v>0</v>
      </c>
      <c r="P55" s="88">
        <f t="shared" si="11"/>
        <v>0</v>
      </c>
    </row>
    <row r="56" spans="1:16" ht="13.2" x14ac:dyDescent="0.2">
      <c r="A56" s="189">
        <v>42</v>
      </c>
      <c r="B56" s="190" t="s">
        <v>56</v>
      </c>
      <c r="C56" s="199" t="s">
        <v>478</v>
      </c>
      <c r="D56" s="198" t="s">
        <v>62</v>
      </c>
      <c r="E56" s="196">
        <v>6</v>
      </c>
      <c r="F56" s="133"/>
      <c r="G56" s="134"/>
      <c r="H56" s="135">
        <f t="shared" si="0"/>
        <v>0</v>
      </c>
      <c r="I56" s="134"/>
      <c r="J56" s="134"/>
      <c r="K56" s="134">
        <f t="shared" si="1"/>
        <v>0</v>
      </c>
      <c r="L56" s="105">
        <f t="shared" si="7"/>
        <v>0</v>
      </c>
      <c r="M56" s="87">
        <f t="shared" si="8"/>
        <v>0</v>
      </c>
      <c r="N56" s="87">
        <f t="shared" si="9"/>
        <v>0</v>
      </c>
      <c r="O56" s="87">
        <f t="shared" si="10"/>
        <v>0</v>
      </c>
      <c r="P56" s="88">
        <f t="shared" si="11"/>
        <v>0</v>
      </c>
    </row>
    <row r="57" spans="1:16" ht="13.2" x14ac:dyDescent="0.2">
      <c r="A57" s="189">
        <v>43</v>
      </c>
      <c r="B57" s="190" t="s">
        <v>56</v>
      </c>
      <c r="C57" s="195" t="s">
        <v>479</v>
      </c>
      <c r="D57" s="190" t="s">
        <v>62</v>
      </c>
      <c r="E57" s="196">
        <v>10</v>
      </c>
      <c r="F57" s="133"/>
      <c r="G57" s="134"/>
      <c r="H57" s="135">
        <f t="shared" si="0"/>
        <v>0</v>
      </c>
      <c r="I57" s="134"/>
      <c r="J57" s="134"/>
      <c r="K57" s="134">
        <f t="shared" si="1"/>
        <v>0</v>
      </c>
      <c r="L57" s="105">
        <f t="shared" si="7"/>
        <v>0</v>
      </c>
      <c r="M57" s="87">
        <f t="shared" si="8"/>
        <v>0</v>
      </c>
      <c r="N57" s="87">
        <f t="shared" si="9"/>
        <v>0</v>
      </c>
      <c r="O57" s="87">
        <f t="shared" si="10"/>
        <v>0</v>
      </c>
      <c r="P57" s="88">
        <f t="shared" si="11"/>
        <v>0</v>
      </c>
    </row>
    <row r="58" spans="1:16" ht="13.2" x14ac:dyDescent="0.2">
      <c r="A58" s="189">
        <v>44</v>
      </c>
      <c r="B58" s="190" t="s">
        <v>56</v>
      </c>
      <c r="C58" s="199" t="s">
        <v>480</v>
      </c>
      <c r="D58" s="198" t="s">
        <v>62</v>
      </c>
      <c r="E58" s="196">
        <v>1</v>
      </c>
      <c r="F58" s="133"/>
      <c r="G58" s="134"/>
      <c r="H58" s="135">
        <f t="shared" si="0"/>
        <v>0</v>
      </c>
      <c r="I58" s="134"/>
      <c r="J58" s="134"/>
      <c r="K58" s="134">
        <f t="shared" si="1"/>
        <v>0</v>
      </c>
      <c r="L58" s="105">
        <f t="shared" si="7"/>
        <v>0</v>
      </c>
      <c r="M58" s="87">
        <f t="shared" si="8"/>
        <v>0</v>
      </c>
      <c r="N58" s="87">
        <f t="shared" si="9"/>
        <v>0</v>
      </c>
      <c r="O58" s="87">
        <f t="shared" si="10"/>
        <v>0</v>
      </c>
      <c r="P58" s="88">
        <f t="shared" si="11"/>
        <v>0</v>
      </c>
    </row>
    <row r="59" spans="1:16" ht="13.2" x14ac:dyDescent="0.2">
      <c r="A59" s="189">
        <v>45</v>
      </c>
      <c r="B59" s="190" t="s">
        <v>56</v>
      </c>
      <c r="C59" s="199" t="s">
        <v>481</v>
      </c>
      <c r="D59" s="198" t="s">
        <v>62</v>
      </c>
      <c r="E59" s="196">
        <v>13</v>
      </c>
      <c r="F59" s="133"/>
      <c r="G59" s="134"/>
      <c r="H59" s="135">
        <f t="shared" si="0"/>
        <v>0</v>
      </c>
      <c r="I59" s="134"/>
      <c r="J59" s="134"/>
      <c r="K59" s="134">
        <f t="shared" si="1"/>
        <v>0</v>
      </c>
      <c r="L59" s="105">
        <f t="shared" si="7"/>
        <v>0</v>
      </c>
      <c r="M59" s="87">
        <f t="shared" si="8"/>
        <v>0</v>
      </c>
      <c r="N59" s="87">
        <f t="shared" si="9"/>
        <v>0</v>
      </c>
      <c r="O59" s="87">
        <f t="shared" si="10"/>
        <v>0</v>
      </c>
      <c r="P59" s="88">
        <f t="shared" si="11"/>
        <v>0</v>
      </c>
    </row>
    <row r="60" spans="1:16" ht="13.2" x14ac:dyDescent="0.2">
      <c r="A60" s="189">
        <v>46</v>
      </c>
      <c r="B60" s="190" t="s">
        <v>56</v>
      </c>
      <c r="C60" s="199" t="s">
        <v>482</v>
      </c>
      <c r="D60" s="198" t="s">
        <v>62</v>
      </c>
      <c r="E60" s="196">
        <v>6</v>
      </c>
      <c r="F60" s="133"/>
      <c r="G60" s="134"/>
      <c r="H60" s="135">
        <f t="shared" si="0"/>
        <v>0</v>
      </c>
      <c r="I60" s="134"/>
      <c r="J60" s="134"/>
      <c r="K60" s="134">
        <f t="shared" si="1"/>
        <v>0</v>
      </c>
      <c r="L60" s="105">
        <f t="shared" si="7"/>
        <v>0</v>
      </c>
      <c r="M60" s="87">
        <f t="shared" si="8"/>
        <v>0</v>
      </c>
      <c r="N60" s="87">
        <f t="shared" si="9"/>
        <v>0</v>
      </c>
      <c r="O60" s="87">
        <f t="shared" si="10"/>
        <v>0</v>
      </c>
      <c r="P60" s="88">
        <f t="shared" si="11"/>
        <v>0</v>
      </c>
    </row>
    <row r="61" spans="1:16" ht="13.2" x14ac:dyDescent="0.2">
      <c r="A61" s="189">
        <v>47</v>
      </c>
      <c r="B61" s="190" t="s">
        <v>56</v>
      </c>
      <c r="C61" s="199" t="s">
        <v>483</v>
      </c>
      <c r="D61" s="198" t="s">
        <v>62</v>
      </c>
      <c r="E61" s="196">
        <v>2</v>
      </c>
      <c r="F61" s="133"/>
      <c r="G61" s="134"/>
      <c r="H61" s="135">
        <f t="shared" si="0"/>
        <v>0</v>
      </c>
      <c r="I61" s="134"/>
      <c r="J61" s="134"/>
      <c r="K61" s="134">
        <f t="shared" si="1"/>
        <v>0</v>
      </c>
      <c r="L61" s="105">
        <f t="shared" si="7"/>
        <v>0</v>
      </c>
      <c r="M61" s="87">
        <f t="shared" si="8"/>
        <v>0</v>
      </c>
      <c r="N61" s="87">
        <f t="shared" si="9"/>
        <v>0</v>
      </c>
      <c r="O61" s="87">
        <f t="shared" si="10"/>
        <v>0</v>
      </c>
      <c r="P61" s="88">
        <f t="shared" si="11"/>
        <v>0</v>
      </c>
    </row>
    <row r="62" spans="1:16" ht="39.6" x14ac:dyDescent="0.2">
      <c r="A62" s="189">
        <v>48</v>
      </c>
      <c r="B62" s="190" t="s">
        <v>56</v>
      </c>
      <c r="C62" s="200" t="s">
        <v>484</v>
      </c>
      <c r="D62" s="198" t="s">
        <v>62</v>
      </c>
      <c r="E62" s="196">
        <v>47</v>
      </c>
      <c r="F62" s="133"/>
      <c r="G62" s="134"/>
      <c r="H62" s="135">
        <f t="shared" si="0"/>
        <v>0</v>
      </c>
      <c r="I62" s="134"/>
      <c r="J62" s="134"/>
      <c r="K62" s="134">
        <f t="shared" si="1"/>
        <v>0</v>
      </c>
      <c r="L62" s="105">
        <f t="shared" si="7"/>
        <v>0</v>
      </c>
      <c r="M62" s="87">
        <f t="shared" si="8"/>
        <v>0</v>
      </c>
      <c r="N62" s="87">
        <f t="shared" si="9"/>
        <v>0</v>
      </c>
      <c r="O62" s="87">
        <f t="shared" si="10"/>
        <v>0</v>
      </c>
      <c r="P62" s="88">
        <f t="shared" si="11"/>
        <v>0</v>
      </c>
    </row>
    <row r="63" spans="1:16" ht="39.6" x14ac:dyDescent="0.2">
      <c r="A63" s="189">
        <v>49</v>
      </c>
      <c r="B63" s="190" t="s">
        <v>56</v>
      </c>
      <c r="C63" s="200" t="s">
        <v>485</v>
      </c>
      <c r="D63" s="198" t="s">
        <v>62</v>
      </c>
      <c r="E63" s="196">
        <v>24</v>
      </c>
      <c r="F63" s="133"/>
      <c r="G63" s="134"/>
      <c r="H63" s="135">
        <f t="shared" si="0"/>
        <v>0</v>
      </c>
      <c r="I63" s="134"/>
      <c r="J63" s="134"/>
      <c r="K63" s="134">
        <f t="shared" si="1"/>
        <v>0</v>
      </c>
      <c r="L63" s="105">
        <f t="shared" si="7"/>
        <v>0</v>
      </c>
      <c r="M63" s="87">
        <f t="shared" si="8"/>
        <v>0</v>
      </c>
      <c r="N63" s="87">
        <f t="shared" si="9"/>
        <v>0</v>
      </c>
      <c r="O63" s="87">
        <f t="shared" si="10"/>
        <v>0</v>
      </c>
      <c r="P63" s="88">
        <f t="shared" si="11"/>
        <v>0</v>
      </c>
    </row>
    <row r="64" spans="1:16" ht="39.6" x14ac:dyDescent="0.2">
      <c r="A64" s="189">
        <v>50</v>
      </c>
      <c r="B64" s="190" t="s">
        <v>56</v>
      </c>
      <c r="C64" s="200" t="s">
        <v>486</v>
      </c>
      <c r="D64" s="198" t="s">
        <v>62</v>
      </c>
      <c r="E64" s="196">
        <v>87</v>
      </c>
      <c r="F64" s="133"/>
      <c r="G64" s="134"/>
      <c r="H64" s="135">
        <f t="shared" si="0"/>
        <v>0</v>
      </c>
      <c r="I64" s="134"/>
      <c r="J64" s="134"/>
      <c r="K64" s="134">
        <f t="shared" si="1"/>
        <v>0</v>
      </c>
      <c r="L64" s="105">
        <f t="shared" si="7"/>
        <v>0</v>
      </c>
      <c r="M64" s="87">
        <f t="shared" si="8"/>
        <v>0</v>
      </c>
      <c r="N64" s="87">
        <f t="shared" si="9"/>
        <v>0</v>
      </c>
      <c r="O64" s="87">
        <f t="shared" si="10"/>
        <v>0</v>
      </c>
      <c r="P64" s="88">
        <f t="shared" si="11"/>
        <v>0</v>
      </c>
    </row>
    <row r="65" spans="1:16" ht="39.6" x14ac:dyDescent="0.2">
      <c r="A65" s="189">
        <v>51</v>
      </c>
      <c r="B65" s="190" t="s">
        <v>56</v>
      </c>
      <c r="C65" s="200" t="s">
        <v>487</v>
      </c>
      <c r="D65" s="198" t="s">
        <v>62</v>
      </c>
      <c r="E65" s="196">
        <v>48</v>
      </c>
      <c r="F65" s="133"/>
      <c r="G65" s="134"/>
      <c r="H65" s="135">
        <f t="shared" si="0"/>
        <v>0</v>
      </c>
      <c r="I65" s="134"/>
      <c r="J65" s="134"/>
      <c r="K65" s="134">
        <f t="shared" si="1"/>
        <v>0</v>
      </c>
      <c r="L65" s="105">
        <f t="shared" si="7"/>
        <v>0</v>
      </c>
      <c r="M65" s="87">
        <f t="shared" si="8"/>
        <v>0</v>
      </c>
      <c r="N65" s="87">
        <f t="shared" si="9"/>
        <v>0</v>
      </c>
      <c r="O65" s="87">
        <f t="shared" si="10"/>
        <v>0</v>
      </c>
      <c r="P65" s="88">
        <f t="shared" si="11"/>
        <v>0</v>
      </c>
    </row>
    <row r="66" spans="1:16" ht="39.6" x14ac:dyDescent="0.2">
      <c r="A66" s="189">
        <v>52</v>
      </c>
      <c r="B66" s="190" t="s">
        <v>56</v>
      </c>
      <c r="C66" s="200" t="s">
        <v>488</v>
      </c>
      <c r="D66" s="198" t="s">
        <v>62</v>
      </c>
      <c r="E66" s="196">
        <v>7</v>
      </c>
      <c r="F66" s="133"/>
      <c r="G66" s="134"/>
      <c r="H66" s="135">
        <f t="shared" si="0"/>
        <v>0</v>
      </c>
      <c r="I66" s="134"/>
      <c r="J66" s="134"/>
      <c r="K66" s="134">
        <f t="shared" si="1"/>
        <v>0</v>
      </c>
      <c r="L66" s="105">
        <f t="shared" si="7"/>
        <v>0</v>
      </c>
      <c r="M66" s="87">
        <f t="shared" si="8"/>
        <v>0</v>
      </c>
      <c r="N66" s="87">
        <f t="shared" si="9"/>
        <v>0</v>
      </c>
      <c r="O66" s="87">
        <f t="shared" si="10"/>
        <v>0</v>
      </c>
      <c r="P66" s="88">
        <f t="shared" si="11"/>
        <v>0</v>
      </c>
    </row>
    <row r="67" spans="1:16" ht="39.6" x14ac:dyDescent="0.2">
      <c r="A67" s="189">
        <v>53</v>
      </c>
      <c r="B67" s="190" t="s">
        <v>56</v>
      </c>
      <c r="C67" s="200" t="s">
        <v>489</v>
      </c>
      <c r="D67" s="198" t="s">
        <v>62</v>
      </c>
      <c r="E67" s="196">
        <v>2</v>
      </c>
      <c r="F67" s="133"/>
      <c r="G67" s="134"/>
      <c r="H67" s="135">
        <f t="shared" si="0"/>
        <v>0</v>
      </c>
      <c r="I67" s="134"/>
      <c r="J67" s="134"/>
      <c r="K67" s="134">
        <f t="shared" si="1"/>
        <v>0</v>
      </c>
      <c r="L67" s="105">
        <f t="shared" si="7"/>
        <v>0</v>
      </c>
      <c r="M67" s="87">
        <f t="shared" si="8"/>
        <v>0</v>
      </c>
      <c r="N67" s="87">
        <f t="shared" si="9"/>
        <v>0</v>
      </c>
      <c r="O67" s="87">
        <f t="shared" si="10"/>
        <v>0</v>
      </c>
      <c r="P67" s="88">
        <f t="shared" si="11"/>
        <v>0</v>
      </c>
    </row>
    <row r="68" spans="1:16" ht="39.6" x14ac:dyDescent="0.2">
      <c r="A68" s="189">
        <v>54</v>
      </c>
      <c r="B68" s="190" t="s">
        <v>56</v>
      </c>
      <c r="C68" s="200" t="s">
        <v>490</v>
      </c>
      <c r="D68" s="198" t="s">
        <v>62</v>
      </c>
      <c r="E68" s="196">
        <v>8</v>
      </c>
      <c r="F68" s="133"/>
      <c r="G68" s="134"/>
      <c r="H68" s="135">
        <f t="shared" si="0"/>
        <v>0</v>
      </c>
      <c r="I68" s="134"/>
      <c r="J68" s="134"/>
      <c r="K68" s="134">
        <f t="shared" si="1"/>
        <v>0</v>
      </c>
      <c r="L68" s="105">
        <f t="shared" si="7"/>
        <v>0</v>
      </c>
      <c r="M68" s="87">
        <f t="shared" si="8"/>
        <v>0</v>
      </c>
      <c r="N68" s="87">
        <f t="shared" si="9"/>
        <v>0</v>
      </c>
      <c r="O68" s="87">
        <f t="shared" si="10"/>
        <v>0</v>
      </c>
      <c r="P68" s="88">
        <f t="shared" si="11"/>
        <v>0</v>
      </c>
    </row>
    <row r="69" spans="1:16" ht="39.6" x14ac:dyDescent="0.2">
      <c r="A69" s="189">
        <v>55</v>
      </c>
      <c r="B69" s="190" t="s">
        <v>56</v>
      </c>
      <c r="C69" s="200" t="s">
        <v>491</v>
      </c>
      <c r="D69" s="198" t="s">
        <v>62</v>
      </c>
      <c r="E69" s="196">
        <v>25</v>
      </c>
      <c r="F69" s="133"/>
      <c r="G69" s="134"/>
      <c r="H69" s="135">
        <f>ROUND(F69*G69,2)</f>
        <v>0</v>
      </c>
      <c r="I69" s="134"/>
      <c r="J69" s="134"/>
      <c r="K69" s="134">
        <f>ROUND(H69+J69+I69,2)</f>
        <v>0</v>
      </c>
      <c r="L69" s="105">
        <f t="shared" si="7"/>
        <v>0</v>
      </c>
      <c r="M69" s="87">
        <f t="shared" si="8"/>
        <v>0</v>
      </c>
      <c r="N69" s="87">
        <f t="shared" si="9"/>
        <v>0</v>
      </c>
      <c r="O69" s="87">
        <f t="shared" si="10"/>
        <v>0</v>
      </c>
      <c r="P69" s="88">
        <f t="shared" si="11"/>
        <v>0</v>
      </c>
    </row>
    <row r="70" spans="1:16" ht="39.6" x14ac:dyDescent="0.2">
      <c r="A70" s="189">
        <v>56</v>
      </c>
      <c r="B70" s="190" t="s">
        <v>56</v>
      </c>
      <c r="C70" s="200" t="s">
        <v>492</v>
      </c>
      <c r="D70" s="198" t="s">
        <v>62</v>
      </c>
      <c r="E70" s="196">
        <v>6</v>
      </c>
      <c r="F70" s="133"/>
      <c r="G70" s="134"/>
      <c r="H70" s="135">
        <f>ROUND(F70*G70,2)</f>
        <v>0</v>
      </c>
      <c r="I70" s="134"/>
      <c r="J70" s="134"/>
      <c r="K70" s="134">
        <f>ROUND(H70+J70+I70,2)</f>
        <v>0</v>
      </c>
      <c r="L70" s="105">
        <f t="shared" si="7"/>
        <v>0</v>
      </c>
      <c r="M70" s="87">
        <f t="shared" si="8"/>
        <v>0</v>
      </c>
      <c r="N70" s="87">
        <f t="shared" si="9"/>
        <v>0</v>
      </c>
      <c r="O70" s="87">
        <f t="shared" si="10"/>
        <v>0</v>
      </c>
      <c r="P70" s="88">
        <f t="shared" si="11"/>
        <v>0</v>
      </c>
    </row>
    <row r="71" spans="1:16" ht="39.6" x14ac:dyDescent="0.2">
      <c r="A71" s="189">
        <v>57</v>
      </c>
      <c r="B71" s="190" t="s">
        <v>56</v>
      </c>
      <c r="C71" s="200" t="s">
        <v>493</v>
      </c>
      <c r="D71" s="198" t="s">
        <v>62</v>
      </c>
      <c r="E71" s="196">
        <v>5</v>
      </c>
      <c r="F71" s="133"/>
      <c r="G71" s="134"/>
      <c r="H71" s="135">
        <f>ROUND(F71*G71,2)</f>
        <v>0</v>
      </c>
      <c r="I71" s="134"/>
      <c r="J71" s="134"/>
      <c r="K71" s="134">
        <f>ROUND(H71+J71+I71,2)</f>
        <v>0</v>
      </c>
      <c r="L71" s="105">
        <f t="shared" si="7"/>
        <v>0</v>
      </c>
      <c r="M71" s="87">
        <f t="shared" si="8"/>
        <v>0</v>
      </c>
      <c r="N71" s="87">
        <f t="shared" si="9"/>
        <v>0</v>
      </c>
      <c r="O71" s="87">
        <f t="shared" si="10"/>
        <v>0</v>
      </c>
      <c r="P71" s="88">
        <f t="shared" si="11"/>
        <v>0</v>
      </c>
    </row>
    <row r="72" spans="1:16" ht="39.6" x14ac:dyDescent="0.2">
      <c r="A72" s="189">
        <v>58</v>
      </c>
      <c r="B72" s="190" t="s">
        <v>56</v>
      </c>
      <c r="C72" s="195" t="s">
        <v>494</v>
      </c>
      <c r="D72" s="190" t="s">
        <v>62</v>
      </c>
      <c r="E72" s="196">
        <v>254</v>
      </c>
      <c r="F72" s="133"/>
      <c r="G72" s="134"/>
      <c r="H72" s="135">
        <f t="shared" si="0"/>
        <v>0</v>
      </c>
      <c r="I72" s="134"/>
      <c r="J72" s="134"/>
      <c r="K72" s="134">
        <f t="shared" si="1"/>
        <v>0</v>
      </c>
      <c r="L72" s="105">
        <f t="shared" si="7"/>
        <v>0</v>
      </c>
      <c r="M72" s="87">
        <f t="shared" si="8"/>
        <v>0</v>
      </c>
      <c r="N72" s="87">
        <f t="shared" si="9"/>
        <v>0</v>
      </c>
      <c r="O72" s="87">
        <f t="shared" si="10"/>
        <v>0</v>
      </c>
      <c r="P72" s="88">
        <f t="shared" si="11"/>
        <v>0</v>
      </c>
    </row>
    <row r="73" spans="1:16" ht="39.6" x14ac:dyDescent="0.2">
      <c r="A73" s="189">
        <v>59</v>
      </c>
      <c r="B73" s="190" t="s">
        <v>56</v>
      </c>
      <c r="C73" s="195" t="s">
        <v>495</v>
      </c>
      <c r="D73" s="190" t="s">
        <v>62</v>
      </c>
      <c r="E73" s="196">
        <v>5</v>
      </c>
      <c r="F73" s="133"/>
      <c r="G73" s="134"/>
      <c r="H73" s="135">
        <f t="shared" si="0"/>
        <v>0</v>
      </c>
      <c r="I73" s="134"/>
      <c r="J73" s="134"/>
      <c r="K73" s="134">
        <f t="shared" si="1"/>
        <v>0</v>
      </c>
      <c r="L73" s="105">
        <f t="shared" si="7"/>
        <v>0</v>
      </c>
      <c r="M73" s="87">
        <f t="shared" si="8"/>
        <v>0</v>
      </c>
      <c r="N73" s="87">
        <f t="shared" si="9"/>
        <v>0</v>
      </c>
      <c r="O73" s="87">
        <f t="shared" si="10"/>
        <v>0</v>
      </c>
      <c r="P73" s="88">
        <f t="shared" si="11"/>
        <v>0</v>
      </c>
    </row>
    <row r="74" spans="1:16" ht="26.4" x14ac:dyDescent="0.2">
      <c r="A74" s="189">
        <v>60</v>
      </c>
      <c r="B74" s="190" t="s">
        <v>56</v>
      </c>
      <c r="C74" s="195" t="s">
        <v>496</v>
      </c>
      <c r="D74" s="190" t="s">
        <v>62</v>
      </c>
      <c r="E74" s="196">
        <v>259</v>
      </c>
      <c r="F74" s="133"/>
      <c r="G74" s="134"/>
      <c r="H74" s="135">
        <f t="shared" si="0"/>
        <v>0</v>
      </c>
      <c r="I74" s="134"/>
      <c r="J74" s="134"/>
      <c r="K74" s="134">
        <f t="shared" si="1"/>
        <v>0</v>
      </c>
      <c r="L74" s="105">
        <f t="shared" si="7"/>
        <v>0</v>
      </c>
      <c r="M74" s="87">
        <f t="shared" si="8"/>
        <v>0</v>
      </c>
      <c r="N74" s="87">
        <f t="shared" si="9"/>
        <v>0</v>
      </c>
      <c r="O74" s="87">
        <f t="shared" si="10"/>
        <v>0</v>
      </c>
      <c r="P74" s="88">
        <f t="shared" si="11"/>
        <v>0</v>
      </c>
    </row>
    <row r="75" spans="1:16" ht="13.2" x14ac:dyDescent="0.2">
      <c r="A75" s="189">
        <v>61</v>
      </c>
      <c r="B75" s="190" t="s">
        <v>56</v>
      </c>
      <c r="C75" s="200" t="s">
        <v>497</v>
      </c>
      <c r="D75" s="198" t="s">
        <v>62</v>
      </c>
      <c r="E75" s="196">
        <v>12</v>
      </c>
      <c r="F75" s="133"/>
      <c r="G75" s="134"/>
      <c r="H75" s="135">
        <f t="shared" si="0"/>
        <v>0</v>
      </c>
      <c r="I75" s="134"/>
      <c r="J75" s="134"/>
      <c r="K75" s="134">
        <f t="shared" si="1"/>
        <v>0</v>
      </c>
      <c r="L75" s="105">
        <f t="shared" si="7"/>
        <v>0</v>
      </c>
      <c r="M75" s="87">
        <f t="shared" si="8"/>
        <v>0</v>
      </c>
      <c r="N75" s="87">
        <f t="shared" si="9"/>
        <v>0</v>
      </c>
      <c r="O75" s="87">
        <f t="shared" si="10"/>
        <v>0</v>
      </c>
      <c r="P75" s="88">
        <f t="shared" si="11"/>
        <v>0</v>
      </c>
    </row>
    <row r="76" spans="1:16" ht="13.2" x14ac:dyDescent="0.2">
      <c r="A76" s="189">
        <v>62</v>
      </c>
      <c r="B76" s="190" t="s">
        <v>56</v>
      </c>
      <c r="C76" s="200" t="s">
        <v>498</v>
      </c>
      <c r="D76" s="198" t="s">
        <v>62</v>
      </c>
      <c r="E76" s="196">
        <v>60</v>
      </c>
      <c r="F76" s="133"/>
      <c r="G76" s="134"/>
      <c r="H76" s="135">
        <f t="shared" si="0"/>
        <v>0</v>
      </c>
      <c r="I76" s="134"/>
      <c r="J76" s="134"/>
      <c r="K76" s="134">
        <f t="shared" si="1"/>
        <v>0</v>
      </c>
      <c r="L76" s="105">
        <f t="shared" si="7"/>
        <v>0</v>
      </c>
      <c r="M76" s="87">
        <f t="shared" si="8"/>
        <v>0</v>
      </c>
      <c r="N76" s="87">
        <f t="shared" si="9"/>
        <v>0</v>
      </c>
      <c r="O76" s="87">
        <f t="shared" si="10"/>
        <v>0</v>
      </c>
      <c r="P76" s="88">
        <f t="shared" si="11"/>
        <v>0</v>
      </c>
    </row>
    <row r="77" spans="1:16" ht="13.2" x14ac:dyDescent="0.2">
      <c r="A77" s="189">
        <v>63</v>
      </c>
      <c r="B77" s="190" t="s">
        <v>56</v>
      </c>
      <c r="C77" s="195" t="s">
        <v>499</v>
      </c>
      <c r="D77" s="190" t="s">
        <v>62</v>
      </c>
      <c r="E77" s="196">
        <v>4</v>
      </c>
      <c r="F77" s="133"/>
      <c r="G77" s="134"/>
      <c r="H77" s="135">
        <f t="shared" si="0"/>
        <v>0</v>
      </c>
      <c r="I77" s="134"/>
      <c r="J77" s="134"/>
      <c r="K77" s="134">
        <f t="shared" si="1"/>
        <v>0</v>
      </c>
      <c r="L77" s="105">
        <f t="shared" si="7"/>
        <v>0</v>
      </c>
      <c r="M77" s="87">
        <f t="shared" si="8"/>
        <v>0</v>
      </c>
      <c r="N77" s="87">
        <f t="shared" si="9"/>
        <v>0</v>
      </c>
      <c r="O77" s="87">
        <f t="shared" si="10"/>
        <v>0</v>
      </c>
      <c r="P77" s="88">
        <f t="shared" si="11"/>
        <v>0</v>
      </c>
    </row>
    <row r="78" spans="1:16" ht="13.2" x14ac:dyDescent="0.2">
      <c r="A78" s="189">
        <v>64</v>
      </c>
      <c r="B78" s="190" t="s">
        <v>56</v>
      </c>
      <c r="C78" s="200" t="s">
        <v>500</v>
      </c>
      <c r="D78" s="198" t="s">
        <v>62</v>
      </c>
      <c r="E78" s="196">
        <v>6</v>
      </c>
      <c r="F78" s="133"/>
      <c r="G78" s="134"/>
      <c r="H78" s="135">
        <f t="shared" si="0"/>
        <v>0</v>
      </c>
      <c r="I78" s="134"/>
      <c r="J78" s="134"/>
      <c r="K78" s="134">
        <f t="shared" si="1"/>
        <v>0</v>
      </c>
      <c r="L78" s="105">
        <f t="shared" si="7"/>
        <v>0</v>
      </c>
      <c r="M78" s="87">
        <f t="shared" si="8"/>
        <v>0</v>
      </c>
      <c r="N78" s="87">
        <f t="shared" si="9"/>
        <v>0</v>
      </c>
      <c r="O78" s="87">
        <f t="shared" si="10"/>
        <v>0</v>
      </c>
      <c r="P78" s="88">
        <f t="shared" si="11"/>
        <v>0</v>
      </c>
    </row>
    <row r="79" spans="1:16" ht="13.2" x14ac:dyDescent="0.2">
      <c r="A79" s="189">
        <v>65</v>
      </c>
      <c r="B79" s="190" t="s">
        <v>56</v>
      </c>
      <c r="C79" s="200" t="s">
        <v>501</v>
      </c>
      <c r="D79" s="198" t="s">
        <v>62</v>
      </c>
      <c r="E79" s="196">
        <v>6</v>
      </c>
      <c r="F79" s="133"/>
      <c r="G79" s="134"/>
      <c r="H79" s="135">
        <f t="shared" ref="H79:H88" si="12">ROUND(F79*G79,2)</f>
        <v>0</v>
      </c>
      <c r="I79" s="134"/>
      <c r="J79" s="134"/>
      <c r="K79" s="134">
        <f t="shared" si="1"/>
        <v>0</v>
      </c>
      <c r="L79" s="105">
        <f t="shared" si="7"/>
        <v>0</v>
      </c>
      <c r="M79" s="87">
        <f t="shared" si="8"/>
        <v>0</v>
      </c>
      <c r="N79" s="87">
        <f t="shared" si="9"/>
        <v>0</v>
      </c>
      <c r="O79" s="87">
        <f t="shared" si="10"/>
        <v>0</v>
      </c>
      <c r="P79" s="88">
        <f t="shared" si="11"/>
        <v>0</v>
      </c>
    </row>
    <row r="80" spans="1:16" ht="13.2" x14ac:dyDescent="0.2">
      <c r="A80" s="189">
        <v>66</v>
      </c>
      <c r="B80" s="190" t="s">
        <v>56</v>
      </c>
      <c r="C80" s="200" t="s">
        <v>502</v>
      </c>
      <c r="D80" s="198" t="s">
        <v>62</v>
      </c>
      <c r="E80" s="196">
        <v>3</v>
      </c>
      <c r="F80" s="133"/>
      <c r="G80" s="134"/>
      <c r="H80" s="135">
        <f t="shared" si="12"/>
        <v>0</v>
      </c>
      <c r="I80" s="134"/>
      <c r="J80" s="134"/>
      <c r="K80" s="134">
        <f t="shared" si="1"/>
        <v>0</v>
      </c>
      <c r="L80" s="105">
        <f t="shared" ref="L80:L102" si="13">ROUND(E80*F80,2)</f>
        <v>0</v>
      </c>
      <c r="M80" s="87">
        <f t="shared" ref="M80:M102" si="14">ROUND(E80*H80,2)</f>
        <v>0</v>
      </c>
      <c r="N80" s="87">
        <f t="shared" ref="N80:N102" si="15">ROUND(E80*I80,2)</f>
        <v>0</v>
      </c>
      <c r="O80" s="87">
        <f t="shared" ref="O80:O102" si="16">ROUND(E80*J80,2)</f>
        <v>0</v>
      </c>
      <c r="P80" s="88">
        <f t="shared" ref="P80:P102" si="17">ROUND(O80+N80+M80,2)</f>
        <v>0</v>
      </c>
    </row>
    <row r="81" spans="1:16" ht="13.2" x14ac:dyDescent="0.2">
      <c r="A81" s="189">
        <v>67</v>
      </c>
      <c r="B81" s="190" t="s">
        <v>56</v>
      </c>
      <c r="C81" s="200" t="s">
        <v>503</v>
      </c>
      <c r="D81" s="198" t="s">
        <v>62</v>
      </c>
      <c r="E81" s="196">
        <v>1</v>
      </c>
      <c r="F81" s="133"/>
      <c r="G81" s="134"/>
      <c r="H81" s="135">
        <f t="shared" si="12"/>
        <v>0</v>
      </c>
      <c r="I81" s="134"/>
      <c r="J81" s="134"/>
      <c r="K81" s="134">
        <f t="shared" si="1"/>
        <v>0</v>
      </c>
      <c r="L81" s="105">
        <f t="shared" si="13"/>
        <v>0</v>
      </c>
      <c r="M81" s="87">
        <f t="shared" si="14"/>
        <v>0</v>
      </c>
      <c r="N81" s="87">
        <f t="shared" si="15"/>
        <v>0</v>
      </c>
      <c r="O81" s="87">
        <f t="shared" si="16"/>
        <v>0</v>
      </c>
      <c r="P81" s="88">
        <f t="shared" si="17"/>
        <v>0</v>
      </c>
    </row>
    <row r="82" spans="1:16" ht="13.2" x14ac:dyDescent="0.2">
      <c r="A82" s="189">
        <v>68</v>
      </c>
      <c r="B82" s="190" t="s">
        <v>56</v>
      </c>
      <c r="C82" s="195" t="s">
        <v>504</v>
      </c>
      <c r="D82" s="190" t="s">
        <v>62</v>
      </c>
      <c r="E82" s="196">
        <v>80</v>
      </c>
      <c r="F82" s="133"/>
      <c r="G82" s="134"/>
      <c r="H82" s="135">
        <f t="shared" si="12"/>
        <v>0</v>
      </c>
      <c r="I82" s="134"/>
      <c r="J82" s="134"/>
      <c r="K82" s="134">
        <f t="shared" si="1"/>
        <v>0</v>
      </c>
      <c r="L82" s="105">
        <f t="shared" si="13"/>
        <v>0</v>
      </c>
      <c r="M82" s="87">
        <f t="shared" si="14"/>
        <v>0</v>
      </c>
      <c r="N82" s="87">
        <f t="shared" si="15"/>
        <v>0</v>
      </c>
      <c r="O82" s="87">
        <f t="shared" si="16"/>
        <v>0</v>
      </c>
      <c r="P82" s="88">
        <f t="shared" si="17"/>
        <v>0</v>
      </c>
    </row>
    <row r="83" spans="1:16" ht="52.8" x14ac:dyDescent="0.2">
      <c r="A83" s="189">
        <v>69</v>
      </c>
      <c r="B83" s="190" t="s">
        <v>56</v>
      </c>
      <c r="C83" s="202" t="s">
        <v>505</v>
      </c>
      <c r="D83" s="190" t="s">
        <v>58</v>
      </c>
      <c r="E83" s="196">
        <v>40</v>
      </c>
      <c r="F83" s="133"/>
      <c r="G83" s="134"/>
      <c r="H83" s="135">
        <f t="shared" si="12"/>
        <v>0</v>
      </c>
      <c r="I83" s="134"/>
      <c r="J83" s="134"/>
      <c r="K83" s="134">
        <f t="shared" si="1"/>
        <v>0</v>
      </c>
      <c r="L83" s="105">
        <f t="shared" si="13"/>
        <v>0</v>
      </c>
      <c r="M83" s="87">
        <f t="shared" si="14"/>
        <v>0</v>
      </c>
      <c r="N83" s="87">
        <f t="shared" si="15"/>
        <v>0</v>
      </c>
      <c r="O83" s="87">
        <f t="shared" si="16"/>
        <v>0</v>
      </c>
      <c r="P83" s="88">
        <f t="shared" si="17"/>
        <v>0</v>
      </c>
    </row>
    <row r="84" spans="1:16" ht="52.8" x14ac:dyDescent="0.2">
      <c r="A84" s="189">
        <v>70</v>
      </c>
      <c r="B84" s="190" t="s">
        <v>56</v>
      </c>
      <c r="C84" s="195" t="s">
        <v>506</v>
      </c>
      <c r="D84" s="190" t="s">
        <v>58</v>
      </c>
      <c r="E84" s="196">
        <v>53</v>
      </c>
      <c r="F84" s="133"/>
      <c r="G84" s="134"/>
      <c r="H84" s="135">
        <f t="shared" si="12"/>
        <v>0</v>
      </c>
      <c r="I84" s="134"/>
      <c r="J84" s="134"/>
      <c r="K84" s="134">
        <f t="shared" si="1"/>
        <v>0</v>
      </c>
      <c r="L84" s="105">
        <f t="shared" si="13"/>
        <v>0</v>
      </c>
      <c r="M84" s="87">
        <f t="shared" si="14"/>
        <v>0</v>
      </c>
      <c r="N84" s="87">
        <f t="shared" si="15"/>
        <v>0</v>
      </c>
      <c r="O84" s="87">
        <f t="shared" si="16"/>
        <v>0</v>
      </c>
      <c r="P84" s="88">
        <f t="shared" si="17"/>
        <v>0</v>
      </c>
    </row>
    <row r="85" spans="1:16" ht="52.8" x14ac:dyDescent="0.2">
      <c r="A85" s="189">
        <v>71</v>
      </c>
      <c r="B85" s="190" t="s">
        <v>56</v>
      </c>
      <c r="C85" s="195" t="s">
        <v>507</v>
      </c>
      <c r="D85" s="190" t="s">
        <v>58</v>
      </c>
      <c r="E85" s="196">
        <v>135</v>
      </c>
      <c r="F85" s="133"/>
      <c r="G85" s="134"/>
      <c r="H85" s="135">
        <f t="shared" si="12"/>
        <v>0</v>
      </c>
      <c r="I85" s="134"/>
      <c r="J85" s="134"/>
      <c r="K85" s="134">
        <f t="shared" si="1"/>
        <v>0</v>
      </c>
      <c r="L85" s="105">
        <f t="shared" si="13"/>
        <v>0</v>
      </c>
      <c r="M85" s="87">
        <f t="shared" si="14"/>
        <v>0</v>
      </c>
      <c r="N85" s="87">
        <f t="shared" si="15"/>
        <v>0</v>
      </c>
      <c r="O85" s="87">
        <f t="shared" si="16"/>
        <v>0</v>
      </c>
      <c r="P85" s="88">
        <f t="shared" si="17"/>
        <v>0</v>
      </c>
    </row>
    <row r="86" spans="1:16" ht="52.8" x14ac:dyDescent="0.2">
      <c r="A86" s="189">
        <v>72</v>
      </c>
      <c r="B86" s="190" t="s">
        <v>56</v>
      </c>
      <c r="C86" s="195" t="s">
        <v>508</v>
      </c>
      <c r="D86" s="190" t="s">
        <v>58</v>
      </c>
      <c r="E86" s="196">
        <v>150</v>
      </c>
      <c r="F86" s="133"/>
      <c r="G86" s="134"/>
      <c r="H86" s="135">
        <f t="shared" si="12"/>
        <v>0</v>
      </c>
      <c r="I86" s="134"/>
      <c r="J86" s="134"/>
      <c r="K86" s="134">
        <f t="shared" si="1"/>
        <v>0</v>
      </c>
      <c r="L86" s="105">
        <f t="shared" si="13"/>
        <v>0</v>
      </c>
      <c r="M86" s="87">
        <f t="shared" si="14"/>
        <v>0</v>
      </c>
      <c r="N86" s="87">
        <f t="shared" si="15"/>
        <v>0</v>
      </c>
      <c r="O86" s="87">
        <f t="shared" si="16"/>
        <v>0</v>
      </c>
      <c r="P86" s="88">
        <f t="shared" si="17"/>
        <v>0</v>
      </c>
    </row>
    <row r="87" spans="1:16" ht="52.8" x14ac:dyDescent="0.2">
      <c r="A87" s="189">
        <v>73</v>
      </c>
      <c r="B87" s="190" t="s">
        <v>56</v>
      </c>
      <c r="C87" s="195" t="s">
        <v>509</v>
      </c>
      <c r="D87" s="190" t="s">
        <v>58</v>
      </c>
      <c r="E87" s="132">
        <v>30</v>
      </c>
      <c r="F87" s="133"/>
      <c r="G87" s="134"/>
      <c r="H87" s="135">
        <f t="shared" si="12"/>
        <v>0</v>
      </c>
      <c r="I87" s="134"/>
      <c r="J87" s="134"/>
      <c r="K87" s="134">
        <f t="shared" si="1"/>
        <v>0</v>
      </c>
      <c r="L87" s="105">
        <f t="shared" si="13"/>
        <v>0</v>
      </c>
      <c r="M87" s="87">
        <f t="shared" si="14"/>
        <v>0</v>
      </c>
      <c r="N87" s="87">
        <f t="shared" si="15"/>
        <v>0</v>
      </c>
      <c r="O87" s="87">
        <f t="shared" si="16"/>
        <v>0</v>
      </c>
      <c r="P87" s="88">
        <f t="shared" si="17"/>
        <v>0</v>
      </c>
    </row>
    <row r="88" spans="1:16" ht="52.8" x14ac:dyDescent="0.2">
      <c r="A88" s="189">
        <v>74</v>
      </c>
      <c r="B88" s="190" t="s">
        <v>56</v>
      </c>
      <c r="C88" s="197" t="s">
        <v>510</v>
      </c>
      <c r="D88" s="198" t="s">
        <v>58</v>
      </c>
      <c r="E88" s="196">
        <v>20</v>
      </c>
      <c r="F88" s="133"/>
      <c r="G88" s="134"/>
      <c r="H88" s="135">
        <f t="shared" si="12"/>
        <v>0</v>
      </c>
      <c r="I88" s="134"/>
      <c r="J88" s="134"/>
      <c r="K88" s="134">
        <f t="shared" si="1"/>
        <v>0</v>
      </c>
      <c r="L88" s="105">
        <f t="shared" si="13"/>
        <v>0</v>
      </c>
      <c r="M88" s="87">
        <f t="shared" si="14"/>
        <v>0</v>
      </c>
      <c r="N88" s="87">
        <f t="shared" si="15"/>
        <v>0</v>
      </c>
      <c r="O88" s="87">
        <f t="shared" si="16"/>
        <v>0</v>
      </c>
      <c r="P88" s="88">
        <f t="shared" si="17"/>
        <v>0</v>
      </c>
    </row>
    <row r="89" spans="1:16" ht="13.2" x14ac:dyDescent="0.2">
      <c r="A89" s="189">
        <v>75</v>
      </c>
      <c r="B89" s="190" t="s">
        <v>56</v>
      </c>
      <c r="C89" s="195" t="s">
        <v>511</v>
      </c>
      <c r="D89" s="193" t="s">
        <v>60</v>
      </c>
      <c r="E89" s="196">
        <v>1</v>
      </c>
      <c r="F89" s="133"/>
      <c r="G89" s="134"/>
      <c r="H89" s="135"/>
      <c r="I89" s="134"/>
      <c r="J89" s="134"/>
      <c r="K89" s="134">
        <f t="shared" si="1"/>
        <v>0</v>
      </c>
      <c r="L89" s="105">
        <f t="shared" si="13"/>
        <v>0</v>
      </c>
      <c r="M89" s="87">
        <f t="shared" si="14"/>
        <v>0</v>
      </c>
      <c r="N89" s="87">
        <f t="shared" si="15"/>
        <v>0</v>
      </c>
      <c r="O89" s="87">
        <f t="shared" si="16"/>
        <v>0</v>
      </c>
      <c r="P89" s="88">
        <f t="shared" si="17"/>
        <v>0</v>
      </c>
    </row>
    <row r="90" spans="1:16" ht="13.2" x14ac:dyDescent="0.2">
      <c r="A90" s="189">
        <v>76</v>
      </c>
      <c r="B90" s="190" t="s">
        <v>56</v>
      </c>
      <c r="C90" s="195" t="s">
        <v>512</v>
      </c>
      <c r="D90" s="193" t="s">
        <v>60</v>
      </c>
      <c r="E90" s="196">
        <v>1</v>
      </c>
      <c r="F90" s="133"/>
      <c r="G90" s="134"/>
      <c r="H90" s="135"/>
      <c r="I90" s="134"/>
      <c r="J90" s="134"/>
      <c r="K90" s="134">
        <f t="shared" si="1"/>
        <v>0</v>
      </c>
      <c r="L90" s="105">
        <f t="shared" si="13"/>
        <v>0</v>
      </c>
      <c r="M90" s="87">
        <f t="shared" si="14"/>
        <v>0</v>
      </c>
      <c r="N90" s="87">
        <f t="shared" si="15"/>
        <v>0</v>
      </c>
      <c r="O90" s="87">
        <f t="shared" si="16"/>
        <v>0</v>
      </c>
      <c r="P90" s="88">
        <f t="shared" si="17"/>
        <v>0</v>
      </c>
    </row>
    <row r="91" spans="1:16" ht="13.2" x14ac:dyDescent="0.2">
      <c r="A91" s="189">
        <v>77</v>
      </c>
      <c r="B91" s="190" t="s">
        <v>56</v>
      </c>
      <c r="C91" s="195" t="s">
        <v>513</v>
      </c>
      <c r="D91" s="193" t="s">
        <v>60</v>
      </c>
      <c r="E91" s="132">
        <v>1</v>
      </c>
      <c r="F91" s="133"/>
      <c r="G91" s="134"/>
      <c r="H91" s="135"/>
      <c r="I91" s="134"/>
      <c r="J91" s="134"/>
      <c r="K91" s="134">
        <f t="shared" si="1"/>
        <v>0</v>
      </c>
      <c r="L91" s="105">
        <f t="shared" si="13"/>
        <v>0</v>
      </c>
      <c r="M91" s="87">
        <f t="shared" si="14"/>
        <v>0</v>
      </c>
      <c r="N91" s="87">
        <f t="shared" si="15"/>
        <v>0</v>
      </c>
      <c r="O91" s="87">
        <f t="shared" si="16"/>
        <v>0</v>
      </c>
      <c r="P91" s="88">
        <f t="shared" si="17"/>
        <v>0</v>
      </c>
    </row>
    <row r="92" spans="1:16" ht="13.2" x14ac:dyDescent="0.2">
      <c r="A92" s="189">
        <v>78</v>
      </c>
      <c r="B92" s="190" t="s">
        <v>56</v>
      </c>
      <c r="C92" s="195" t="s">
        <v>514</v>
      </c>
      <c r="D92" s="193" t="s">
        <v>60</v>
      </c>
      <c r="E92" s="132">
        <v>1</v>
      </c>
      <c r="F92" s="133"/>
      <c r="G92" s="134"/>
      <c r="H92" s="135"/>
      <c r="I92" s="134"/>
      <c r="J92" s="134"/>
      <c r="K92" s="134">
        <f t="shared" si="1"/>
        <v>0</v>
      </c>
      <c r="L92" s="105">
        <f t="shared" si="13"/>
        <v>0</v>
      </c>
      <c r="M92" s="87">
        <f t="shared" si="14"/>
        <v>0</v>
      </c>
      <c r="N92" s="87">
        <f t="shared" si="15"/>
        <v>0</v>
      </c>
      <c r="O92" s="87">
        <f t="shared" si="16"/>
        <v>0</v>
      </c>
      <c r="P92" s="88">
        <f t="shared" si="17"/>
        <v>0</v>
      </c>
    </row>
    <row r="93" spans="1:16" ht="13.2" x14ac:dyDescent="0.2">
      <c r="A93" s="189">
        <v>79</v>
      </c>
      <c r="B93" s="190" t="s">
        <v>56</v>
      </c>
      <c r="C93" s="195" t="s">
        <v>316</v>
      </c>
      <c r="D93" s="193" t="s">
        <v>60</v>
      </c>
      <c r="E93" s="132">
        <v>1</v>
      </c>
      <c r="F93" s="133"/>
      <c r="G93" s="134"/>
      <c r="H93" s="135"/>
      <c r="I93" s="134"/>
      <c r="J93" s="134"/>
      <c r="K93" s="134">
        <f t="shared" si="1"/>
        <v>0</v>
      </c>
      <c r="L93" s="105">
        <f t="shared" si="13"/>
        <v>0</v>
      </c>
      <c r="M93" s="87">
        <f t="shared" si="14"/>
        <v>0</v>
      </c>
      <c r="N93" s="87">
        <f t="shared" si="15"/>
        <v>0</v>
      </c>
      <c r="O93" s="87">
        <f t="shared" si="16"/>
        <v>0</v>
      </c>
      <c r="P93" s="88">
        <f t="shared" si="17"/>
        <v>0</v>
      </c>
    </row>
    <row r="94" spans="1:16" ht="13.2" x14ac:dyDescent="0.2">
      <c r="A94" s="189">
        <v>80</v>
      </c>
      <c r="B94" s="190" t="s">
        <v>56</v>
      </c>
      <c r="C94" s="195" t="s">
        <v>515</v>
      </c>
      <c r="D94" s="193" t="s">
        <v>60</v>
      </c>
      <c r="E94" s="132">
        <v>1</v>
      </c>
      <c r="F94" s="133"/>
      <c r="G94" s="134"/>
      <c r="H94" s="135"/>
      <c r="I94" s="134"/>
      <c r="J94" s="134"/>
      <c r="K94" s="134">
        <f t="shared" si="1"/>
        <v>0</v>
      </c>
      <c r="L94" s="105">
        <f t="shared" si="13"/>
        <v>0</v>
      </c>
      <c r="M94" s="87">
        <f t="shared" si="14"/>
        <v>0</v>
      </c>
      <c r="N94" s="87">
        <f t="shared" si="15"/>
        <v>0</v>
      </c>
      <c r="O94" s="87">
        <f t="shared" si="16"/>
        <v>0</v>
      </c>
      <c r="P94" s="88">
        <f t="shared" si="17"/>
        <v>0</v>
      </c>
    </row>
    <row r="95" spans="1:16" ht="26.4" x14ac:dyDescent="0.2">
      <c r="A95" s="189">
        <v>81</v>
      </c>
      <c r="B95" s="190" t="s">
        <v>56</v>
      </c>
      <c r="C95" s="163" t="s">
        <v>516</v>
      </c>
      <c r="D95" s="191" t="s">
        <v>60</v>
      </c>
      <c r="E95" s="132">
        <v>1</v>
      </c>
      <c r="F95" s="133"/>
      <c r="G95" s="134"/>
      <c r="H95" s="135">
        <f t="shared" ref="H95:H102" si="18">ROUND(F95*G95,2)</f>
        <v>0</v>
      </c>
      <c r="I95" s="134"/>
      <c r="J95" s="134"/>
      <c r="K95" s="134">
        <f t="shared" ref="K95:K102" si="19">ROUND(H95+J95+I95,2)</f>
        <v>0</v>
      </c>
      <c r="L95" s="105">
        <f t="shared" si="13"/>
        <v>0</v>
      </c>
      <c r="M95" s="87">
        <f t="shared" si="14"/>
        <v>0</v>
      </c>
      <c r="N95" s="87">
        <f t="shared" si="15"/>
        <v>0</v>
      </c>
      <c r="O95" s="87">
        <f t="shared" si="16"/>
        <v>0</v>
      </c>
      <c r="P95" s="88">
        <f t="shared" si="17"/>
        <v>0</v>
      </c>
    </row>
    <row r="96" spans="1:16" ht="26.4" x14ac:dyDescent="0.2">
      <c r="A96" s="189">
        <v>82</v>
      </c>
      <c r="B96" s="190" t="s">
        <v>56</v>
      </c>
      <c r="C96" s="163" t="s">
        <v>517</v>
      </c>
      <c r="D96" s="191" t="s">
        <v>60</v>
      </c>
      <c r="E96" s="132">
        <v>259</v>
      </c>
      <c r="F96" s="133"/>
      <c r="G96" s="134"/>
      <c r="H96" s="135">
        <f t="shared" si="18"/>
        <v>0</v>
      </c>
      <c r="I96" s="134"/>
      <c r="J96" s="134"/>
      <c r="K96" s="134">
        <f t="shared" si="19"/>
        <v>0</v>
      </c>
      <c r="L96" s="105">
        <f t="shared" si="13"/>
        <v>0</v>
      </c>
      <c r="M96" s="87">
        <f t="shared" si="14"/>
        <v>0</v>
      </c>
      <c r="N96" s="87">
        <f t="shared" si="15"/>
        <v>0</v>
      </c>
      <c r="O96" s="87">
        <f t="shared" si="16"/>
        <v>0</v>
      </c>
      <c r="P96" s="88">
        <f t="shared" si="17"/>
        <v>0</v>
      </c>
    </row>
    <row r="97" spans="1:16" ht="13.2" x14ac:dyDescent="0.2">
      <c r="A97" s="189">
        <v>83</v>
      </c>
      <c r="B97" s="190" t="s">
        <v>56</v>
      </c>
      <c r="C97" s="163" t="s">
        <v>518</v>
      </c>
      <c r="D97" s="191" t="s">
        <v>60</v>
      </c>
      <c r="E97" s="132">
        <v>259</v>
      </c>
      <c r="F97" s="133"/>
      <c r="G97" s="134"/>
      <c r="H97" s="135">
        <f t="shared" si="18"/>
        <v>0</v>
      </c>
      <c r="I97" s="134"/>
      <c r="J97" s="134"/>
      <c r="K97" s="134">
        <f t="shared" si="19"/>
        <v>0</v>
      </c>
      <c r="L97" s="105">
        <f t="shared" si="13"/>
        <v>0</v>
      </c>
      <c r="M97" s="87">
        <f t="shared" si="14"/>
        <v>0</v>
      </c>
      <c r="N97" s="87">
        <f t="shared" si="15"/>
        <v>0</v>
      </c>
      <c r="O97" s="87">
        <f t="shared" si="16"/>
        <v>0</v>
      </c>
      <c r="P97" s="88">
        <f t="shared" si="17"/>
        <v>0</v>
      </c>
    </row>
    <row r="98" spans="1:16" ht="13.2" x14ac:dyDescent="0.2">
      <c r="A98" s="189">
        <v>84</v>
      </c>
      <c r="B98" s="190" t="s">
        <v>56</v>
      </c>
      <c r="C98" s="163" t="s">
        <v>519</v>
      </c>
      <c r="D98" s="191" t="s">
        <v>60</v>
      </c>
      <c r="E98" s="132">
        <v>5</v>
      </c>
      <c r="F98" s="133"/>
      <c r="G98" s="134"/>
      <c r="H98" s="135">
        <f t="shared" si="18"/>
        <v>0</v>
      </c>
      <c r="I98" s="134"/>
      <c r="J98" s="134"/>
      <c r="K98" s="134">
        <f t="shared" si="19"/>
        <v>0</v>
      </c>
      <c r="L98" s="105">
        <f t="shared" si="13"/>
        <v>0</v>
      </c>
      <c r="M98" s="87">
        <f t="shared" si="14"/>
        <v>0</v>
      </c>
      <c r="N98" s="87">
        <f t="shared" si="15"/>
        <v>0</v>
      </c>
      <c r="O98" s="87">
        <f t="shared" si="16"/>
        <v>0</v>
      </c>
      <c r="P98" s="88">
        <f t="shared" si="17"/>
        <v>0</v>
      </c>
    </row>
    <row r="99" spans="1:16" ht="26.4" x14ac:dyDescent="0.2">
      <c r="A99" s="189">
        <v>85</v>
      </c>
      <c r="B99" s="190" t="s">
        <v>56</v>
      </c>
      <c r="C99" s="163" t="s">
        <v>385</v>
      </c>
      <c r="D99" s="191" t="s">
        <v>62</v>
      </c>
      <c r="E99" s="132">
        <v>155</v>
      </c>
      <c r="F99" s="133"/>
      <c r="G99" s="134"/>
      <c r="H99" s="135">
        <f t="shared" si="18"/>
        <v>0</v>
      </c>
      <c r="I99" s="134"/>
      <c r="J99" s="134"/>
      <c r="K99" s="134">
        <f t="shared" si="19"/>
        <v>0</v>
      </c>
      <c r="L99" s="105">
        <f t="shared" si="13"/>
        <v>0</v>
      </c>
      <c r="M99" s="87">
        <f t="shared" si="14"/>
        <v>0</v>
      </c>
      <c r="N99" s="87">
        <f t="shared" si="15"/>
        <v>0</v>
      </c>
      <c r="O99" s="87">
        <f t="shared" si="16"/>
        <v>0</v>
      </c>
      <c r="P99" s="88">
        <f t="shared" si="17"/>
        <v>0</v>
      </c>
    </row>
    <row r="100" spans="1:16" ht="26.4" x14ac:dyDescent="0.2">
      <c r="A100" s="189">
        <v>86</v>
      </c>
      <c r="B100" s="190" t="s">
        <v>56</v>
      </c>
      <c r="C100" s="163" t="s">
        <v>520</v>
      </c>
      <c r="D100" s="191" t="s">
        <v>437</v>
      </c>
      <c r="E100" s="132">
        <v>1</v>
      </c>
      <c r="F100" s="133"/>
      <c r="G100" s="134"/>
      <c r="H100" s="135">
        <f t="shared" si="18"/>
        <v>0</v>
      </c>
      <c r="I100" s="134"/>
      <c r="J100" s="134"/>
      <c r="K100" s="134">
        <f t="shared" si="19"/>
        <v>0</v>
      </c>
      <c r="L100" s="105">
        <f t="shared" si="13"/>
        <v>0</v>
      </c>
      <c r="M100" s="87">
        <f t="shared" si="14"/>
        <v>0</v>
      </c>
      <c r="N100" s="87">
        <f t="shared" si="15"/>
        <v>0</v>
      </c>
      <c r="O100" s="87">
        <f t="shared" si="16"/>
        <v>0</v>
      </c>
      <c r="P100" s="88">
        <f t="shared" si="17"/>
        <v>0</v>
      </c>
    </row>
    <row r="101" spans="1:16" ht="26.4" x14ac:dyDescent="0.2">
      <c r="A101" s="189">
        <v>87</v>
      </c>
      <c r="B101" s="190" t="s">
        <v>56</v>
      </c>
      <c r="C101" s="163" t="s">
        <v>521</v>
      </c>
      <c r="D101" s="191" t="s">
        <v>437</v>
      </c>
      <c r="E101" s="132">
        <v>1</v>
      </c>
      <c r="F101" s="133"/>
      <c r="G101" s="134"/>
      <c r="H101" s="135">
        <f t="shared" si="18"/>
        <v>0</v>
      </c>
      <c r="I101" s="134"/>
      <c r="J101" s="134"/>
      <c r="K101" s="134">
        <f t="shared" si="19"/>
        <v>0</v>
      </c>
      <c r="L101" s="105">
        <f t="shared" si="13"/>
        <v>0</v>
      </c>
      <c r="M101" s="87">
        <f t="shared" si="14"/>
        <v>0</v>
      </c>
      <c r="N101" s="87">
        <f t="shared" si="15"/>
        <v>0</v>
      </c>
      <c r="O101" s="87">
        <f t="shared" si="16"/>
        <v>0</v>
      </c>
      <c r="P101" s="88">
        <f t="shared" si="17"/>
        <v>0</v>
      </c>
    </row>
    <row r="102" spans="1:16" ht="27" thickBot="1" x14ac:dyDescent="0.25">
      <c r="A102" s="189">
        <v>88</v>
      </c>
      <c r="B102" s="190" t="s">
        <v>56</v>
      </c>
      <c r="C102" s="163" t="s">
        <v>522</v>
      </c>
      <c r="D102" s="191" t="s">
        <v>437</v>
      </c>
      <c r="E102" s="132">
        <v>1</v>
      </c>
      <c r="F102" s="133"/>
      <c r="G102" s="134"/>
      <c r="H102" s="135">
        <f t="shared" si="18"/>
        <v>0</v>
      </c>
      <c r="I102" s="134"/>
      <c r="J102" s="134"/>
      <c r="K102" s="134">
        <f t="shared" si="19"/>
        <v>0</v>
      </c>
      <c r="L102" s="105">
        <f t="shared" si="13"/>
        <v>0</v>
      </c>
      <c r="M102" s="87">
        <f t="shared" si="14"/>
        <v>0</v>
      </c>
      <c r="N102" s="87">
        <f t="shared" si="15"/>
        <v>0</v>
      </c>
      <c r="O102" s="87">
        <f t="shared" si="16"/>
        <v>0</v>
      </c>
      <c r="P102" s="88">
        <f t="shared" si="17"/>
        <v>0</v>
      </c>
    </row>
    <row r="103" spans="1:16" ht="10.8" thickBot="1" x14ac:dyDescent="0.25">
      <c r="A103" s="282"/>
      <c r="B103" s="283"/>
      <c r="C103" s="283"/>
      <c r="D103" s="283"/>
      <c r="E103" s="283"/>
      <c r="F103" s="283"/>
      <c r="G103" s="283"/>
      <c r="H103" s="283"/>
      <c r="I103" s="283"/>
      <c r="J103" s="283"/>
      <c r="K103" s="284"/>
      <c r="L103" s="52">
        <f>SUM(L14:L102)</f>
        <v>0</v>
      </c>
      <c r="M103" s="53">
        <f>SUM(M14:M102)</f>
        <v>0</v>
      </c>
      <c r="N103" s="53">
        <f>SUM(N14:N102)</f>
        <v>0</v>
      </c>
      <c r="O103" s="53">
        <f>SUM(O14:O102)</f>
        <v>0</v>
      </c>
      <c r="P103" s="54">
        <f>SUM(P14:P102)</f>
        <v>0</v>
      </c>
    </row>
    <row r="104" spans="1:16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</row>
    <row r="105" spans="1:16" x14ac:dyDescent="0.2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</row>
    <row r="106" spans="1:16" x14ac:dyDescent="0.2">
      <c r="A106" s="1" t="s">
        <v>18</v>
      </c>
      <c r="B106" s="14"/>
      <c r="C106" s="281">
        <f>'Kops a'!C35:H35</f>
        <v>0</v>
      </c>
      <c r="D106" s="281"/>
      <c r="E106" s="281"/>
      <c r="F106" s="281"/>
      <c r="G106" s="281"/>
      <c r="H106" s="281"/>
      <c r="I106" s="14"/>
      <c r="J106" s="14"/>
      <c r="K106" s="14"/>
      <c r="L106" s="14"/>
      <c r="M106" s="14"/>
      <c r="N106" s="14"/>
      <c r="O106" s="14"/>
      <c r="P106" s="14"/>
    </row>
    <row r="107" spans="1:16" x14ac:dyDescent="0.2">
      <c r="A107" s="14"/>
      <c r="B107" s="14"/>
      <c r="C107" s="216" t="s">
        <v>19</v>
      </c>
      <c r="D107" s="216"/>
      <c r="E107" s="216"/>
      <c r="F107" s="216"/>
      <c r="G107" s="216"/>
      <c r="H107" s="216"/>
      <c r="I107" s="14"/>
      <c r="J107" s="14"/>
      <c r="K107" s="14"/>
      <c r="L107" s="14"/>
      <c r="M107" s="14"/>
      <c r="N107" s="14"/>
      <c r="O107" s="14"/>
      <c r="P107" s="14"/>
    </row>
    <row r="108" spans="1:16" x14ac:dyDescent="0.2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</row>
    <row r="109" spans="1:16" x14ac:dyDescent="0.2">
      <c r="A109" s="70" t="str">
        <f>'Kops a'!A38</f>
        <v>Tāme sastādīta</v>
      </c>
      <c r="B109" s="71"/>
      <c r="C109" s="71"/>
      <c r="D109" s="71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</row>
    <row r="110" spans="1:16" x14ac:dyDescent="0.2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</row>
    <row r="111" spans="1:16" x14ac:dyDescent="0.2">
      <c r="A111" s="1" t="s">
        <v>38</v>
      </c>
      <c r="B111" s="14"/>
      <c r="C111" s="281">
        <f>'Kops a'!C40:H40</f>
        <v>0</v>
      </c>
      <c r="D111" s="281"/>
      <c r="E111" s="281"/>
      <c r="F111" s="281"/>
      <c r="G111" s="281"/>
      <c r="H111" s="281"/>
      <c r="I111" s="14"/>
      <c r="J111" s="14"/>
      <c r="K111" s="14"/>
      <c r="L111" s="14"/>
      <c r="M111" s="14"/>
      <c r="N111" s="14"/>
      <c r="O111" s="14"/>
      <c r="P111" s="14"/>
    </row>
    <row r="112" spans="1:16" x14ac:dyDescent="0.2">
      <c r="A112" s="14"/>
      <c r="B112" s="14"/>
      <c r="C112" s="216" t="s">
        <v>19</v>
      </c>
      <c r="D112" s="216"/>
      <c r="E112" s="216"/>
      <c r="F112" s="216"/>
      <c r="G112" s="216"/>
      <c r="H112" s="216"/>
      <c r="I112" s="14"/>
      <c r="J112" s="14"/>
      <c r="K112" s="14"/>
      <c r="L112" s="14"/>
      <c r="M112" s="14"/>
      <c r="N112" s="14"/>
      <c r="O112" s="14"/>
      <c r="P112" s="14"/>
    </row>
    <row r="113" spans="1:16" x14ac:dyDescent="0.2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</row>
    <row r="114" spans="1:16" x14ac:dyDescent="0.2">
      <c r="A114" s="70" t="s">
        <v>84</v>
      </c>
      <c r="B114" s="71"/>
      <c r="C114" s="75">
        <f>'Kops a'!C43</f>
        <v>0</v>
      </c>
      <c r="D114" s="39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</row>
    <row r="115" spans="1:16" x14ac:dyDescent="0.2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</row>
  </sheetData>
  <mergeCells count="22">
    <mergeCell ref="C112:H112"/>
    <mergeCell ref="C4:I4"/>
    <mergeCell ref="F12:K12"/>
    <mergeCell ref="A9:F9"/>
    <mergeCell ref="J9:M9"/>
    <mergeCell ref="D8:L8"/>
    <mergeCell ref="A103:K103"/>
    <mergeCell ref="C106:H106"/>
    <mergeCell ref="C107:H107"/>
    <mergeCell ref="C111:H111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102 I15:J102 D15:G102">
    <cfRule type="cellIs" dxfId="54" priority="26" operator="equal">
      <formula>0</formula>
    </cfRule>
  </conditionalFormatting>
  <conditionalFormatting sqref="N9:O9">
    <cfRule type="cellIs" dxfId="53" priority="25" operator="equal">
      <formula>0</formula>
    </cfRule>
  </conditionalFormatting>
  <conditionalFormatting sqref="A9:F9">
    <cfRule type="containsText" dxfId="52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51" priority="22" operator="equal">
      <formula>0</formula>
    </cfRule>
  </conditionalFormatting>
  <conditionalFormatting sqref="O10">
    <cfRule type="cellIs" dxfId="50" priority="21" operator="equal">
      <formula>"20__. gada __. _________"</formula>
    </cfRule>
  </conditionalFormatting>
  <conditionalFormatting sqref="A103:K103">
    <cfRule type="containsText" dxfId="49" priority="20" operator="containsText" text="Tiešās izmaksas kopā, t. sk. darba devēja sociālais nodoklis __.__% ">
      <formula>NOT(ISERROR(SEARCH("Tiešās izmaksas kopā, t. sk. darba devēja sociālais nodoklis __.__% ",A103)))</formula>
    </cfRule>
  </conditionalFormatting>
  <conditionalFormatting sqref="H14:H102 K14:P102 L16:P103">
    <cfRule type="cellIs" dxfId="48" priority="15" operator="equal">
      <formula>0</formula>
    </cfRule>
  </conditionalFormatting>
  <conditionalFormatting sqref="C4:I4">
    <cfRule type="cellIs" dxfId="47" priority="14" operator="equal">
      <formula>0</formula>
    </cfRule>
  </conditionalFormatting>
  <conditionalFormatting sqref="C15:C102">
    <cfRule type="cellIs" dxfId="46" priority="13" operator="equal">
      <formula>0</formula>
    </cfRule>
  </conditionalFormatting>
  <conditionalFormatting sqref="D5:L8">
    <cfRule type="cellIs" dxfId="45" priority="11" operator="equal">
      <formula>0</formula>
    </cfRule>
  </conditionalFormatting>
  <conditionalFormatting sqref="A14:B14 D14:G14">
    <cfRule type="cellIs" dxfId="44" priority="10" operator="equal">
      <formula>0</formula>
    </cfRule>
  </conditionalFormatting>
  <conditionalFormatting sqref="C14">
    <cfRule type="cellIs" dxfId="43" priority="9" operator="equal">
      <formula>0</formula>
    </cfRule>
  </conditionalFormatting>
  <conditionalFormatting sqref="I14:J14">
    <cfRule type="cellIs" dxfId="42" priority="8" operator="equal">
      <formula>0</formula>
    </cfRule>
  </conditionalFormatting>
  <conditionalFormatting sqref="P10">
    <cfRule type="cellIs" dxfId="41" priority="7" operator="equal">
      <formula>"20__. gada __. _________"</formula>
    </cfRule>
  </conditionalFormatting>
  <conditionalFormatting sqref="C111:H111">
    <cfRule type="cellIs" dxfId="40" priority="4" operator="equal">
      <formula>0</formula>
    </cfRule>
  </conditionalFormatting>
  <conditionalFormatting sqref="C106:H106">
    <cfRule type="cellIs" dxfId="39" priority="3" operator="equal">
      <formula>0</formula>
    </cfRule>
  </conditionalFormatting>
  <conditionalFormatting sqref="C111:H111 C114 C106:H106">
    <cfRule type="cellIs" dxfId="38" priority="2" operator="equal">
      <formula>0</formula>
    </cfRule>
  </conditionalFormatting>
  <conditionalFormatting sqref="D1">
    <cfRule type="cellIs" dxfId="37" priority="1" operator="equal">
      <formula>0</formula>
    </cfRule>
  </conditionalFormatting>
  <pageMargins left="0.7" right="0.7" top="0.75" bottom="0.75" header="0.3" footer="0.3"/>
  <pageSetup paperSize="9" scale="84" orientation="landscape" r:id="rId1"/>
  <rowBreaks count="1" manualBreakCount="1">
    <brk id="84" max="15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160D584C-64FF-402E-862E-BC36A5AEB0A3}">
            <xm:f>NOT(ISERROR(SEARCH("Tāme sastādīta ____. gada ___. ______________",A109)))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A109</xm:sqref>
        </x14:conditionalFormatting>
        <x14:conditionalFormatting xmlns:xm="http://schemas.microsoft.com/office/excel/2006/main">
          <x14:cfRule type="containsText" priority="5" operator="containsText" id="{E1217419-522C-47B8-8672-CC9D11C3FC05}">
            <xm:f>NOT(ISERROR(SEARCH("Sertifikāta Nr. _________________________________",A114)))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A114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/>
  <dimension ref="A1:P111"/>
  <sheetViews>
    <sheetView zoomScaleNormal="100" zoomScaleSheetLayoutView="100" workbookViewId="0">
      <selection activeCell="A99" sqref="A99:K99"/>
    </sheetView>
  </sheetViews>
  <sheetFormatPr defaultColWidth="9.109375" defaultRowHeight="10.199999999999999" x14ac:dyDescent="0.2"/>
  <cols>
    <col min="1" max="1" width="4.5546875" style="1" customWidth="1"/>
    <col min="2" max="2" width="9.44140625" style="1" bestFit="1" customWidth="1"/>
    <col min="3" max="3" width="38.44140625" style="1" customWidth="1"/>
    <col min="4" max="4" width="7" style="1" customWidth="1"/>
    <col min="5" max="5" width="8.6640625" style="1" customWidth="1"/>
    <col min="6" max="6" width="6.33203125" style="1" bestFit="1" customWidth="1"/>
    <col min="7" max="7" width="5.44140625" style="1" bestFit="1" customWidth="1"/>
    <col min="8" max="8" width="7.6640625" style="1" bestFit="1" customWidth="1"/>
    <col min="9" max="9" width="6.33203125" style="1" bestFit="1" customWidth="1"/>
    <col min="10" max="10" width="5.44140625" style="1" bestFit="1" customWidth="1"/>
    <col min="11" max="11" width="7.6640625" style="1" bestFit="1" customWidth="1"/>
    <col min="12" max="12" width="6.5546875" style="1" bestFit="1" customWidth="1"/>
    <col min="13" max="14" width="7.6640625" style="1" customWidth="1"/>
    <col min="15" max="15" width="6.5546875" style="1" bestFit="1" customWidth="1"/>
    <col min="16" max="16" width="9" style="1" customWidth="1"/>
    <col min="17" max="16384" width="9.109375" style="1"/>
  </cols>
  <sheetData>
    <row r="1" spans="1:16" x14ac:dyDescent="0.2">
      <c r="A1" s="19"/>
      <c r="B1" s="19"/>
      <c r="C1" s="23" t="s">
        <v>39</v>
      </c>
      <c r="D1" s="40">
        <f>'Kops a'!A26</f>
        <v>0</v>
      </c>
      <c r="E1" s="19"/>
      <c r="F1" s="19"/>
      <c r="G1" s="19"/>
      <c r="H1" s="19"/>
      <c r="I1" s="19"/>
      <c r="J1" s="19"/>
      <c r="N1" s="22"/>
      <c r="O1" s="23"/>
      <c r="P1" s="24"/>
    </row>
    <row r="2" spans="1:16" x14ac:dyDescent="0.2">
      <c r="A2" s="25"/>
      <c r="B2" s="25"/>
      <c r="C2" s="264" t="s">
        <v>523</v>
      </c>
      <c r="D2" s="264"/>
      <c r="E2" s="264"/>
      <c r="F2" s="264"/>
      <c r="G2" s="264"/>
      <c r="H2" s="264"/>
      <c r="I2" s="264"/>
      <c r="J2" s="25"/>
    </row>
    <row r="3" spans="1:16" x14ac:dyDescent="0.2">
      <c r="A3" s="26"/>
      <c r="B3" s="26"/>
      <c r="C3" s="225" t="s">
        <v>23</v>
      </c>
      <c r="D3" s="225"/>
      <c r="E3" s="225"/>
      <c r="F3" s="225"/>
      <c r="G3" s="225"/>
      <c r="H3" s="225"/>
      <c r="I3" s="225"/>
      <c r="J3" s="26"/>
    </row>
    <row r="4" spans="1:16" x14ac:dyDescent="0.2">
      <c r="A4" s="26"/>
      <c r="B4" s="26"/>
      <c r="C4" s="265" t="s">
        <v>5</v>
      </c>
      <c r="D4" s="265"/>
      <c r="E4" s="265"/>
      <c r="F4" s="265"/>
      <c r="G4" s="265"/>
      <c r="H4" s="265"/>
      <c r="I4" s="265"/>
      <c r="J4" s="26"/>
    </row>
    <row r="5" spans="1:16" x14ac:dyDescent="0.2">
      <c r="A5" s="19"/>
      <c r="B5" s="19"/>
      <c r="C5" s="23" t="s">
        <v>6</v>
      </c>
      <c r="D5" s="278" t="str">
        <f>'Kops a'!D6</f>
        <v>DAUDZDZĪVOKĻU DZĪVOJAMĀ ĒKA</v>
      </c>
      <c r="E5" s="278"/>
      <c r="F5" s="278"/>
      <c r="G5" s="278"/>
      <c r="H5" s="278"/>
      <c r="I5" s="278"/>
      <c r="J5" s="278"/>
      <c r="K5" s="278"/>
      <c r="L5" s="278"/>
      <c r="M5" s="14"/>
      <c r="N5" s="14"/>
      <c r="O5" s="14"/>
      <c r="P5" s="14"/>
    </row>
    <row r="6" spans="1:16" x14ac:dyDescent="0.2">
      <c r="A6" s="19"/>
      <c r="B6" s="19"/>
      <c r="C6" s="23" t="s">
        <v>8</v>
      </c>
      <c r="D6" s="278" t="str">
        <f>'Kops a'!D7</f>
        <v>ENERGOEFEKTIVITĀTES PAAUGSTINĀŠANA DAUDZDZĪVOKĻU DZĪVOJAMAI ĒKAI</v>
      </c>
      <c r="E6" s="278"/>
      <c r="F6" s="278"/>
      <c r="G6" s="278"/>
      <c r="H6" s="278"/>
      <c r="I6" s="278"/>
      <c r="J6" s="278"/>
      <c r="K6" s="278"/>
      <c r="L6" s="278"/>
      <c r="M6" s="14"/>
      <c r="N6" s="14"/>
      <c r="O6" s="14"/>
      <c r="P6" s="14"/>
    </row>
    <row r="7" spans="1:16" x14ac:dyDescent="0.2">
      <c r="A7" s="19"/>
      <c r="B7" s="19"/>
      <c r="C7" s="23" t="s">
        <v>10</v>
      </c>
      <c r="D7" s="278" t="str">
        <f>'Kops a'!D8</f>
        <v>Mātera iela 23/25, Jelgava, ēkas kad. apz. 0900 001 0126 001</v>
      </c>
      <c r="E7" s="278"/>
      <c r="F7" s="278"/>
      <c r="G7" s="278"/>
      <c r="H7" s="278"/>
      <c r="I7" s="278"/>
      <c r="J7" s="278"/>
      <c r="K7" s="278"/>
      <c r="L7" s="278"/>
      <c r="M7" s="14"/>
      <c r="N7" s="14"/>
      <c r="O7" s="14"/>
      <c r="P7" s="14"/>
    </row>
    <row r="8" spans="1:16" x14ac:dyDescent="0.2">
      <c r="A8" s="19"/>
      <c r="B8" s="19"/>
      <c r="C8" s="210" t="s">
        <v>26</v>
      </c>
      <c r="D8" s="278">
        <f>'Kops a'!D9</f>
        <v>0</v>
      </c>
      <c r="E8" s="278"/>
      <c r="F8" s="278"/>
      <c r="G8" s="278"/>
      <c r="H8" s="278"/>
      <c r="I8" s="278"/>
      <c r="J8" s="278"/>
      <c r="K8" s="278"/>
      <c r="L8" s="278"/>
      <c r="M8" s="14"/>
      <c r="N8" s="14"/>
      <c r="O8" s="14"/>
      <c r="P8" s="14"/>
    </row>
    <row r="9" spans="1:16" ht="11.25" customHeight="1" x14ac:dyDescent="0.2">
      <c r="A9" s="266" t="s">
        <v>524</v>
      </c>
      <c r="B9" s="266"/>
      <c r="C9" s="266"/>
      <c r="D9" s="266"/>
      <c r="E9" s="266"/>
      <c r="F9" s="266"/>
      <c r="G9" s="27"/>
      <c r="H9" s="27"/>
      <c r="I9" s="27"/>
      <c r="J9" s="270" t="s">
        <v>42</v>
      </c>
      <c r="K9" s="270"/>
      <c r="L9" s="270"/>
      <c r="M9" s="270"/>
      <c r="N9" s="277">
        <f>P99</f>
        <v>0</v>
      </c>
      <c r="O9" s="277"/>
      <c r="P9" s="27"/>
    </row>
    <row r="10" spans="1:16" x14ac:dyDescent="0.2">
      <c r="A10" s="28"/>
      <c r="B10" s="29"/>
      <c r="C10" s="210"/>
      <c r="D10" s="19"/>
      <c r="E10" s="19"/>
      <c r="F10" s="19"/>
      <c r="G10" s="19"/>
      <c r="H10" s="19"/>
      <c r="I10" s="19"/>
      <c r="J10" s="19"/>
      <c r="K10" s="19"/>
      <c r="L10" s="25"/>
      <c r="M10" s="25"/>
      <c r="O10" s="73"/>
      <c r="P10" s="72" t="str">
        <f>A105</f>
        <v>Tāme sastādīta</v>
      </c>
    </row>
    <row r="11" spans="1:16" ht="10.8" thickBot="1" x14ac:dyDescent="0.25">
      <c r="A11" s="28"/>
      <c r="B11" s="29"/>
      <c r="C11" s="210"/>
      <c r="D11" s="19"/>
      <c r="E11" s="19"/>
      <c r="F11" s="19"/>
      <c r="G11" s="19"/>
      <c r="H11" s="19"/>
      <c r="I11" s="19"/>
      <c r="J11" s="19"/>
      <c r="K11" s="19"/>
      <c r="L11" s="30"/>
      <c r="M11" s="30"/>
      <c r="N11" s="31"/>
      <c r="O11" s="22"/>
      <c r="P11" s="19"/>
    </row>
    <row r="12" spans="1:16" x14ac:dyDescent="0.2">
      <c r="A12" s="236" t="s">
        <v>29</v>
      </c>
      <c r="B12" s="272" t="s">
        <v>43</v>
      </c>
      <c r="C12" s="268" t="s">
        <v>44</v>
      </c>
      <c r="D12" s="275" t="s">
        <v>45</v>
      </c>
      <c r="E12" s="279" t="s">
        <v>46</v>
      </c>
      <c r="F12" s="267" t="s">
        <v>47</v>
      </c>
      <c r="G12" s="268"/>
      <c r="H12" s="268"/>
      <c r="I12" s="268"/>
      <c r="J12" s="268"/>
      <c r="K12" s="269"/>
      <c r="L12" s="267" t="s">
        <v>48</v>
      </c>
      <c r="M12" s="268"/>
      <c r="N12" s="268"/>
      <c r="O12" s="268"/>
      <c r="P12" s="269"/>
    </row>
    <row r="13" spans="1:16" ht="126.75" customHeight="1" thickBot="1" x14ac:dyDescent="0.25">
      <c r="A13" s="271"/>
      <c r="B13" s="273"/>
      <c r="C13" s="274"/>
      <c r="D13" s="276"/>
      <c r="E13" s="280"/>
      <c r="F13" s="214" t="s">
        <v>49</v>
      </c>
      <c r="G13" s="215" t="s">
        <v>50</v>
      </c>
      <c r="H13" s="215" t="s">
        <v>51</v>
      </c>
      <c r="I13" s="215" t="s">
        <v>52</v>
      </c>
      <c r="J13" s="215" t="s">
        <v>53</v>
      </c>
      <c r="K13" s="51" t="s">
        <v>54</v>
      </c>
      <c r="L13" s="214" t="s">
        <v>49</v>
      </c>
      <c r="M13" s="215" t="s">
        <v>51</v>
      </c>
      <c r="N13" s="215" t="s">
        <v>52</v>
      </c>
      <c r="O13" s="215" t="s">
        <v>53</v>
      </c>
      <c r="P13" s="51" t="s">
        <v>54</v>
      </c>
    </row>
    <row r="14" spans="1:16" ht="13.2" x14ac:dyDescent="0.2">
      <c r="A14" s="121"/>
      <c r="B14" s="122"/>
      <c r="C14" s="123" t="s">
        <v>525</v>
      </c>
      <c r="D14" s="124"/>
      <c r="E14" s="125"/>
      <c r="F14" s="126"/>
      <c r="G14" s="127"/>
      <c r="H14" s="127"/>
      <c r="I14" s="127"/>
      <c r="J14" s="127"/>
      <c r="K14" s="150"/>
      <c r="L14" s="106"/>
      <c r="M14" s="89"/>
      <c r="N14" s="89"/>
      <c r="O14" s="89"/>
      <c r="P14" s="90"/>
    </row>
    <row r="15" spans="1:16" ht="13.2" x14ac:dyDescent="0.2">
      <c r="A15" s="189">
        <v>1</v>
      </c>
      <c r="B15" s="190" t="s">
        <v>56</v>
      </c>
      <c r="C15" s="195" t="s">
        <v>436</v>
      </c>
      <c r="D15" s="190" t="s">
        <v>437</v>
      </c>
      <c r="E15" s="196">
        <v>1</v>
      </c>
      <c r="F15" s="133"/>
      <c r="G15" s="134"/>
      <c r="H15" s="135">
        <f t="shared" ref="H15:H78" si="0">ROUND(F15*G15,2)</f>
        <v>0</v>
      </c>
      <c r="I15" s="134"/>
      <c r="J15" s="134"/>
      <c r="K15" s="134">
        <f t="shared" ref="K15:K94" si="1">ROUND(H15+J15+I15,2)</f>
        <v>0</v>
      </c>
      <c r="L15" s="105">
        <f t="shared" ref="L15" si="2">ROUND(E15*F15,2)</f>
        <v>0</v>
      </c>
      <c r="M15" s="87">
        <f t="shared" ref="M15" si="3">ROUND(E15*H15,2)</f>
        <v>0</v>
      </c>
      <c r="N15" s="87">
        <f t="shared" ref="N15" si="4">ROUND(E15*I15,2)</f>
        <v>0</v>
      </c>
      <c r="O15" s="87">
        <f t="shared" ref="O15" si="5">ROUND(E15*J15,2)</f>
        <v>0</v>
      </c>
      <c r="P15" s="88">
        <f t="shared" ref="P15" si="6">ROUND(O15+N15+M15,2)</f>
        <v>0</v>
      </c>
    </row>
    <row r="16" spans="1:16" ht="13.2" x14ac:dyDescent="0.2">
      <c r="A16" s="189">
        <v>2</v>
      </c>
      <c r="B16" s="190" t="s">
        <v>56</v>
      </c>
      <c r="C16" s="195" t="s">
        <v>526</v>
      </c>
      <c r="D16" s="190" t="s">
        <v>58</v>
      </c>
      <c r="E16" s="196">
        <v>740</v>
      </c>
      <c r="F16" s="133"/>
      <c r="G16" s="134"/>
      <c r="H16" s="135">
        <f t="shared" si="0"/>
        <v>0</v>
      </c>
      <c r="I16" s="134"/>
      <c r="J16" s="134"/>
      <c r="K16" s="134">
        <f t="shared" si="1"/>
        <v>0</v>
      </c>
      <c r="L16" s="105">
        <f t="shared" ref="L16:L79" si="7">ROUND(E16*F16,2)</f>
        <v>0</v>
      </c>
      <c r="M16" s="87">
        <f t="shared" ref="M16:M79" si="8">ROUND(E16*H16,2)</f>
        <v>0</v>
      </c>
      <c r="N16" s="87">
        <f t="shared" ref="N16:N79" si="9">ROUND(E16*I16,2)</f>
        <v>0</v>
      </c>
      <c r="O16" s="87">
        <f t="shared" ref="O16:O79" si="10">ROUND(E16*J16,2)</f>
        <v>0</v>
      </c>
      <c r="P16" s="88">
        <f t="shared" ref="P16:P79" si="11">ROUND(O16+N16+M16,2)</f>
        <v>0</v>
      </c>
    </row>
    <row r="17" spans="1:16" ht="13.2" x14ac:dyDescent="0.2">
      <c r="A17" s="189">
        <v>3</v>
      </c>
      <c r="B17" s="190" t="s">
        <v>56</v>
      </c>
      <c r="C17" s="195" t="s">
        <v>527</v>
      </c>
      <c r="D17" s="190" t="s">
        <v>58</v>
      </c>
      <c r="E17" s="196">
        <v>275</v>
      </c>
      <c r="F17" s="133"/>
      <c r="G17" s="134"/>
      <c r="H17" s="135">
        <f t="shared" si="0"/>
        <v>0</v>
      </c>
      <c r="I17" s="134"/>
      <c r="J17" s="134"/>
      <c r="K17" s="134">
        <f t="shared" si="1"/>
        <v>0</v>
      </c>
      <c r="L17" s="105">
        <f t="shared" si="7"/>
        <v>0</v>
      </c>
      <c r="M17" s="87">
        <f t="shared" si="8"/>
        <v>0</v>
      </c>
      <c r="N17" s="87">
        <f t="shared" si="9"/>
        <v>0</v>
      </c>
      <c r="O17" s="87">
        <f t="shared" si="10"/>
        <v>0</v>
      </c>
      <c r="P17" s="88">
        <f t="shared" si="11"/>
        <v>0</v>
      </c>
    </row>
    <row r="18" spans="1:16" ht="13.2" x14ac:dyDescent="0.2">
      <c r="A18" s="189">
        <v>4</v>
      </c>
      <c r="B18" s="190" t="s">
        <v>56</v>
      </c>
      <c r="C18" s="195" t="s">
        <v>528</v>
      </c>
      <c r="D18" s="190" t="s">
        <v>58</v>
      </c>
      <c r="E18" s="196">
        <v>440</v>
      </c>
      <c r="F18" s="133"/>
      <c r="G18" s="134"/>
      <c r="H18" s="135">
        <f t="shared" si="0"/>
        <v>0</v>
      </c>
      <c r="I18" s="134"/>
      <c r="J18" s="134"/>
      <c r="K18" s="134">
        <f t="shared" si="1"/>
        <v>0</v>
      </c>
      <c r="L18" s="105">
        <f t="shared" si="7"/>
        <v>0</v>
      </c>
      <c r="M18" s="87">
        <f t="shared" si="8"/>
        <v>0</v>
      </c>
      <c r="N18" s="87">
        <f t="shared" si="9"/>
        <v>0</v>
      </c>
      <c r="O18" s="87">
        <f t="shared" si="10"/>
        <v>0</v>
      </c>
      <c r="P18" s="88">
        <f t="shared" si="11"/>
        <v>0</v>
      </c>
    </row>
    <row r="19" spans="1:16" ht="13.2" x14ac:dyDescent="0.2">
      <c r="A19" s="189">
        <v>5</v>
      </c>
      <c r="B19" s="190" t="s">
        <v>56</v>
      </c>
      <c r="C19" s="195" t="s">
        <v>529</v>
      </c>
      <c r="D19" s="190" t="s">
        <v>58</v>
      </c>
      <c r="E19" s="196">
        <v>30</v>
      </c>
      <c r="F19" s="133"/>
      <c r="G19" s="134"/>
      <c r="H19" s="135">
        <f t="shared" si="0"/>
        <v>0</v>
      </c>
      <c r="I19" s="134"/>
      <c r="J19" s="134"/>
      <c r="K19" s="134">
        <f t="shared" si="1"/>
        <v>0</v>
      </c>
      <c r="L19" s="105">
        <f t="shared" si="7"/>
        <v>0</v>
      </c>
      <c r="M19" s="87">
        <f t="shared" si="8"/>
        <v>0</v>
      </c>
      <c r="N19" s="87">
        <f t="shared" si="9"/>
        <v>0</v>
      </c>
      <c r="O19" s="87">
        <f t="shared" si="10"/>
        <v>0</v>
      </c>
      <c r="P19" s="88">
        <f t="shared" si="11"/>
        <v>0</v>
      </c>
    </row>
    <row r="20" spans="1:16" ht="13.2" x14ac:dyDescent="0.2">
      <c r="A20" s="189">
        <v>6</v>
      </c>
      <c r="B20" s="190" t="s">
        <v>56</v>
      </c>
      <c r="C20" s="195" t="s">
        <v>530</v>
      </c>
      <c r="D20" s="190" t="s">
        <v>58</v>
      </c>
      <c r="E20" s="196">
        <v>105</v>
      </c>
      <c r="F20" s="133"/>
      <c r="G20" s="134"/>
      <c r="H20" s="135">
        <f t="shared" si="0"/>
        <v>0</v>
      </c>
      <c r="I20" s="134"/>
      <c r="J20" s="134"/>
      <c r="K20" s="134">
        <f t="shared" si="1"/>
        <v>0</v>
      </c>
      <c r="L20" s="105">
        <f t="shared" si="7"/>
        <v>0</v>
      </c>
      <c r="M20" s="87">
        <f t="shared" si="8"/>
        <v>0</v>
      </c>
      <c r="N20" s="87">
        <f t="shared" si="9"/>
        <v>0</v>
      </c>
      <c r="O20" s="87">
        <f t="shared" si="10"/>
        <v>0</v>
      </c>
      <c r="P20" s="88">
        <f t="shared" si="11"/>
        <v>0</v>
      </c>
    </row>
    <row r="21" spans="1:16" ht="13.2" x14ac:dyDescent="0.2">
      <c r="A21" s="189">
        <v>7</v>
      </c>
      <c r="B21" s="190" t="s">
        <v>56</v>
      </c>
      <c r="C21" s="197" t="s">
        <v>531</v>
      </c>
      <c r="D21" s="198" t="s">
        <v>58</v>
      </c>
      <c r="E21" s="196">
        <v>90</v>
      </c>
      <c r="F21" s="133"/>
      <c r="G21" s="134"/>
      <c r="H21" s="135">
        <f t="shared" si="0"/>
        <v>0</v>
      </c>
      <c r="I21" s="134"/>
      <c r="J21" s="134"/>
      <c r="K21" s="134">
        <f t="shared" si="1"/>
        <v>0</v>
      </c>
      <c r="L21" s="105">
        <f t="shared" si="7"/>
        <v>0</v>
      </c>
      <c r="M21" s="87">
        <f t="shared" si="8"/>
        <v>0</v>
      </c>
      <c r="N21" s="87">
        <f t="shared" si="9"/>
        <v>0</v>
      </c>
      <c r="O21" s="87">
        <f t="shared" si="10"/>
        <v>0</v>
      </c>
      <c r="P21" s="88">
        <f t="shared" si="11"/>
        <v>0</v>
      </c>
    </row>
    <row r="22" spans="1:16" ht="13.2" x14ac:dyDescent="0.2">
      <c r="A22" s="189">
        <v>8</v>
      </c>
      <c r="B22" s="190" t="s">
        <v>56</v>
      </c>
      <c r="C22" s="197" t="s">
        <v>532</v>
      </c>
      <c r="D22" s="198" t="s">
        <v>58</v>
      </c>
      <c r="E22" s="196">
        <v>6</v>
      </c>
      <c r="F22" s="133"/>
      <c r="G22" s="134"/>
      <c r="H22" s="135">
        <f t="shared" si="0"/>
        <v>0</v>
      </c>
      <c r="I22" s="134"/>
      <c r="J22" s="134"/>
      <c r="K22" s="134">
        <f t="shared" si="1"/>
        <v>0</v>
      </c>
      <c r="L22" s="105">
        <f t="shared" si="7"/>
        <v>0</v>
      </c>
      <c r="M22" s="87">
        <f t="shared" si="8"/>
        <v>0</v>
      </c>
      <c r="N22" s="87">
        <f t="shared" si="9"/>
        <v>0</v>
      </c>
      <c r="O22" s="87">
        <f t="shared" si="10"/>
        <v>0</v>
      </c>
      <c r="P22" s="88">
        <f t="shared" si="11"/>
        <v>0</v>
      </c>
    </row>
    <row r="23" spans="1:16" ht="13.2" x14ac:dyDescent="0.2">
      <c r="A23" s="189">
        <v>9</v>
      </c>
      <c r="B23" s="190" t="s">
        <v>56</v>
      </c>
      <c r="C23" s="195" t="s">
        <v>533</v>
      </c>
      <c r="D23" s="190" t="s">
        <v>58</v>
      </c>
      <c r="E23" s="196">
        <v>6</v>
      </c>
      <c r="F23" s="133"/>
      <c r="G23" s="134"/>
      <c r="H23" s="135">
        <f t="shared" si="0"/>
        <v>0</v>
      </c>
      <c r="I23" s="134"/>
      <c r="J23" s="134"/>
      <c r="K23" s="134">
        <f t="shared" si="1"/>
        <v>0</v>
      </c>
      <c r="L23" s="105">
        <f t="shared" si="7"/>
        <v>0</v>
      </c>
      <c r="M23" s="87">
        <f t="shared" si="8"/>
        <v>0</v>
      </c>
      <c r="N23" s="87">
        <f t="shared" si="9"/>
        <v>0</v>
      </c>
      <c r="O23" s="87">
        <f t="shared" si="10"/>
        <v>0</v>
      </c>
      <c r="P23" s="88">
        <f t="shared" si="11"/>
        <v>0</v>
      </c>
    </row>
    <row r="24" spans="1:16" ht="13.2" x14ac:dyDescent="0.2">
      <c r="A24" s="189">
        <v>10</v>
      </c>
      <c r="B24" s="190" t="s">
        <v>56</v>
      </c>
      <c r="C24" s="199" t="s">
        <v>534</v>
      </c>
      <c r="D24" s="198" t="s">
        <v>62</v>
      </c>
      <c r="E24" s="196">
        <v>399</v>
      </c>
      <c r="F24" s="133"/>
      <c r="G24" s="134"/>
      <c r="H24" s="135">
        <f t="shared" si="0"/>
        <v>0</v>
      </c>
      <c r="I24" s="134"/>
      <c r="J24" s="134"/>
      <c r="K24" s="134">
        <f t="shared" si="1"/>
        <v>0</v>
      </c>
      <c r="L24" s="105">
        <f t="shared" si="7"/>
        <v>0</v>
      </c>
      <c r="M24" s="87">
        <f t="shared" si="8"/>
        <v>0</v>
      </c>
      <c r="N24" s="87">
        <f t="shared" si="9"/>
        <v>0</v>
      </c>
      <c r="O24" s="87">
        <f t="shared" si="10"/>
        <v>0</v>
      </c>
      <c r="P24" s="88">
        <f t="shared" si="11"/>
        <v>0</v>
      </c>
    </row>
    <row r="25" spans="1:16" ht="13.2" x14ac:dyDescent="0.2">
      <c r="A25" s="189">
        <v>11</v>
      </c>
      <c r="B25" s="190" t="s">
        <v>56</v>
      </c>
      <c r="C25" s="199" t="s">
        <v>535</v>
      </c>
      <c r="D25" s="198" t="s">
        <v>62</v>
      </c>
      <c r="E25" s="196">
        <v>78</v>
      </c>
      <c r="F25" s="133"/>
      <c r="G25" s="134"/>
      <c r="H25" s="135">
        <f t="shared" si="0"/>
        <v>0</v>
      </c>
      <c r="I25" s="134"/>
      <c r="J25" s="134"/>
      <c r="K25" s="134">
        <f t="shared" si="1"/>
        <v>0</v>
      </c>
      <c r="L25" s="105">
        <f t="shared" si="7"/>
        <v>0</v>
      </c>
      <c r="M25" s="87">
        <f t="shared" si="8"/>
        <v>0</v>
      </c>
      <c r="N25" s="87">
        <f t="shared" si="9"/>
        <v>0</v>
      </c>
      <c r="O25" s="87">
        <f t="shared" si="10"/>
        <v>0</v>
      </c>
      <c r="P25" s="88">
        <f t="shared" si="11"/>
        <v>0</v>
      </c>
    </row>
    <row r="26" spans="1:16" ht="13.2" x14ac:dyDescent="0.2">
      <c r="A26" s="189">
        <v>12</v>
      </c>
      <c r="B26" s="190" t="s">
        <v>56</v>
      </c>
      <c r="C26" s="195" t="s">
        <v>536</v>
      </c>
      <c r="D26" s="190" t="s">
        <v>62</v>
      </c>
      <c r="E26" s="196">
        <v>1</v>
      </c>
      <c r="F26" s="133"/>
      <c r="G26" s="134"/>
      <c r="H26" s="135">
        <f t="shared" si="0"/>
        <v>0</v>
      </c>
      <c r="I26" s="134"/>
      <c r="J26" s="134"/>
      <c r="K26" s="134">
        <f t="shared" si="1"/>
        <v>0</v>
      </c>
      <c r="L26" s="105">
        <f t="shared" si="7"/>
        <v>0</v>
      </c>
      <c r="M26" s="87">
        <f t="shared" si="8"/>
        <v>0</v>
      </c>
      <c r="N26" s="87">
        <f t="shared" si="9"/>
        <v>0</v>
      </c>
      <c r="O26" s="87">
        <f t="shared" si="10"/>
        <v>0</v>
      </c>
      <c r="P26" s="88">
        <f t="shared" si="11"/>
        <v>0</v>
      </c>
    </row>
    <row r="27" spans="1:16" ht="13.2" x14ac:dyDescent="0.2">
      <c r="A27" s="189">
        <v>13</v>
      </c>
      <c r="B27" s="190" t="s">
        <v>56</v>
      </c>
      <c r="C27" s="195" t="s">
        <v>537</v>
      </c>
      <c r="D27" s="190" t="s">
        <v>62</v>
      </c>
      <c r="E27" s="196">
        <v>8</v>
      </c>
      <c r="F27" s="133"/>
      <c r="G27" s="134"/>
      <c r="H27" s="135">
        <f t="shared" si="0"/>
        <v>0</v>
      </c>
      <c r="I27" s="134"/>
      <c r="J27" s="134"/>
      <c r="K27" s="134">
        <f t="shared" si="1"/>
        <v>0</v>
      </c>
      <c r="L27" s="105">
        <f t="shared" si="7"/>
        <v>0</v>
      </c>
      <c r="M27" s="87">
        <f t="shared" si="8"/>
        <v>0</v>
      </c>
      <c r="N27" s="87">
        <f t="shared" si="9"/>
        <v>0</v>
      </c>
      <c r="O27" s="87">
        <f t="shared" si="10"/>
        <v>0</v>
      </c>
      <c r="P27" s="88">
        <f t="shared" si="11"/>
        <v>0</v>
      </c>
    </row>
    <row r="28" spans="1:16" ht="13.2" x14ac:dyDescent="0.2">
      <c r="A28" s="189">
        <v>14</v>
      </c>
      <c r="B28" s="190" t="s">
        <v>56</v>
      </c>
      <c r="C28" s="195" t="s">
        <v>538</v>
      </c>
      <c r="D28" s="190" t="s">
        <v>62</v>
      </c>
      <c r="E28" s="196">
        <v>4</v>
      </c>
      <c r="F28" s="133"/>
      <c r="G28" s="134"/>
      <c r="H28" s="135">
        <f t="shared" si="0"/>
        <v>0</v>
      </c>
      <c r="I28" s="134"/>
      <c r="J28" s="134"/>
      <c r="K28" s="134">
        <f t="shared" si="1"/>
        <v>0</v>
      </c>
      <c r="L28" s="105">
        <f t="shared" si="7"/>
        <v>0</v>
      </c>
      <c r="M28" s="87">
        <f t="shared" si="8"/>
        <v>0</v>
      </c>
      <c r="N28" s="87">
        <f t="shared" si="9"/>
        <v>0</v>
      </c>
      <c r="O28" s="87">
        <f t="shared" si="10"/>
        <v>0</v>
      </c>
      <c r="P28" s="88">
        <f t="shared" si="11"/>
        <v>0</v>
      </c>
    </row>
    <row r="29" spans="1:16" ht="13.2" x14ac:dyDescent="0.2">
      <c r="A29" s="189">
        <v>15</v>
      </c>
      <c r="B29" s="190" t="s">
        <v>56</v>
      </c>
      <c r="C29" s="195" t="s">
        <v>539</v>
      </c>
      <c r="D29" s="190" t="s">
        <v>62</v>
      </c>
      <c r="E29" s="196">
        <v>1</v>
      </c>
      <c r="F29" s="133"/>
      <c r="G29" s="134"/>
      <c r="H29" s="135">
        <f t="shared" si="0"/>
        <v>0</v>
      </c>
      <c r="I29" s="134"/>
      <c r="J29" s="134"/>
      <c r="K29" s="134">
        <f t="shared" si="1"/>
        <v>0</v>
      </c>
      <c r="L29" s="105">
        <f t="shared" si="7"/>
        <v>0</v>
      </c>
      <c r="M29" s="87">
        <f t="shared" si="8"/>
        <v>0</v>
      </c>
      <c r="N29" s="87">
        <f t="shared" si="9"/>
        <v>0</v>
      </c>
      <c r="O29" s="87">
        <f t="shared" si="10"/>
        <v>0</v>
      </c>
      <c r="P29" s="88">
        <f t="shared" si="11"/>
        <v>0</v>
      </c>
    </row>
    <row r="30" spans="1:16" ht="13.2" x14ac:dyDescent="0.2">
      <c r="A30" s="189">
        <v>16</v>
      </c>
      <c r="B30" s="190" t="s">
        <v>56</v>
      </c>
      <c r="C30" s="195" t="s">
        <v>540</v>
      </c>
      <c r="D30" s="190" t="s">
        <v>62</v>
      </c>
      <c r="E30" s="196">
        <v>123</v>
      </c>
      <c r="F30" s="133"/>
      <c r="G30" s="134"/>
      <c r="H30" s="135">
        <f t="shared" si="0"/>
        <v>0</v>
      </c>
      <c r="I30" s="134"/>
      <c r="J30" s="134"/>
      <c r="K30" s="134">
        <f t="shared" si="1"/>
        <v>0</v>
      </c>
      <c r="L30" s="105">
        <f t="shared" si="7"/>
        <v>0</v>
      </c>
      <c r="M30" s="87">
        <f t="shared" si="8"/>
        <v>0</v>
      </c>
      <c r="N30" s="87">
        <f t="shared" si="9"/>
        <v>0</v>
      </c>
      <c r="O30" s="87">
        <f t="shared" si="10"/>
        <v>0</v>
      </c>
      <c r="P30" s="88">
        <f t="shared" si="11"/>
        <v>0</v>
      </c>
    </row>
    <row r="31" spans="1:16" ht="13.2" x14ac:dyDescent="0.2">
      <c r="A31" s="189">
        <v>17</v>
      </c>
      <c r="B31" s="190" t="s">
        <v>56</v>
      </c>
      <c r="C31" s="195" t="s">
        <v>541</v>
      </c>
      <c r="D31" s="190" t="s">
        <v>62</v>
      </c>
      <c r="E31" s="196">
        <v>117</v>
      </c>
      <c r="F31" s="133"/>
      <c r="G31" s="134"/>
      <c r="H31" s="135">
        <f t="shared" si="0"/>
        <v>0</v>
      </c>
      <c r="I31" s="134"/>
      <c r="J31" s="134"/>
      <c r="K31" s="134">
        <f t="shared" si="1"/>
        <v>0</v>
      </c>
      <c r="L31" s="105">
        <f t="shared" si="7"/>
        <v>0</v>
      </c>
      <c r="M31" s="87">
        <f t="shared" si="8"/>
        <v>0</v>
      </c>
      <c r="N31" s="87">
        <f t="shared" si="9"/>
        <v>0</v>
      </c>
      <c r="O31" s="87">
        <f t="shared" si="10"/>
        <v>0</v>
      </c>
      <c r="P31" s="88">
        <f t="shared" si="11"/>
        <v>0</v>
      </c>
    </row>
    <row r="32" spans="1:16" ht="13.2" x14ac:dyDescent="0.2">
      <c r="A32" s="189">
        <v>18</v>
      </c>
      <c r="B32" s="190" t="s">
        <v>56</v>
      </c>
      <c r="C32" s="195" t="s">
        <v>542</v>
      </c>
      <c r="D32" s="190" t="s">
        <v>62</v>
      </c>
      <c r="E32" s="196">
        <v>112</v>
      </c>
      <c r="F32" s="133"/>
      <c r="G32" s="134"/>
      <c r="H32" s="135">
        <f t="shared" si="0"/>
        <v>0</v>
      </c>
      <c r="I32" s="134"/>
      <c r="J32" s="134"/>
      <c r="K32" s="134">
        <f t="shared" si="1"/>
        <v>0</v>
      </c>
      <c r="L32" s="105">
        <f t="shared" si="7"/>
        <v>0</v>
      </c>
      <c r="M32" s="87">
        <f t="shared" si="8"/>
        <v>0</v>
      </c>
      <c r="N32" s="87">
        <f t="shared" si="9"/>
        <v>0</v>
      </c>
      <c r="O32" s="87">
        <f t="shared" si="10"/>
        <v>0</v>
      </c>
      <c r="P32" s="88">
        <f t="shared" si="11"/>
        <v>0</v>
      </c>
    </row>
    <row r="33" spans="1:16" ht="13.2" x14ac:dyDescent="0.2">
      <c r="A33" s="189">
        <v>19</v>
      </c>
      <c r="B33" s="190" t="s">
        <v>56</v>
      </c>
      <c r="C33" s="195" t="s">
        <v>543</v>
      </c>
      <c r="D33" s="190" t="s">
        <v>62</v>
      </c>
      <c r="E33" s="196">
        <v>5</v>
      </c>
      <c r="F33" s="133"/>
      <c r="G33" s="134"/>
      <c r="H33" s="135">
        <f t="shared" si="0"/>
        <v>0</v>
      </c>
      <c r="I33" s="134"/>
      <c r="J33" s="134"/>
      <c r="K33" s="134">
        <f t="shared" si="1"/>
        <v>0</v>
      </c>
      <c r="L33" s="105">
        <f t="shared" si="7"/>
        <v>0</v>
      </c>
      <c r="M33" s="87">
        <f t="shared" si="8"/>
        <v>0</v>
      </c>
      <c r="N33" s="87">
        <f t="shared" si="9"/>
        <v>0</v>
      </c>
      <c r="O33" s="87">
        <f t="shared" si="10"/>
        <v>0</v>
      </c>
      <c r="P33" s="88">
        <f t="shared" si="11"/>
        <v>0</v>
      </c>
    </row>
    <row r="34" spans="1:16" ht="13.2" x14ac:dyDescent="0.2">
      <c r="A34" s="189">
        <v>20</v>
      </c>
      <c r="B34" s="190" t="s">
        <v>56</v>
      </c>
      <c r="C34" s="195" t="s">
        <v>544</v>
      </c>
      <c r="D34" s="190" t="s">
        <v>62</v>
      </c>
      <c r="E34" s="196">
        <v>1</v>
      </c>
      <c r="F34" s="133"/>
      <c r="G34" s="134"/>
      <c r="H34" s="135">
        <f t="shared" si="0"/>
        <v>0</v>
      </c>
      <c r="I34" s="134"/>
      <c r="J34" s="134"/>
      <c r="K34" s="134">
        <f t="shared" si="1"/>
        <v>0</v>
      </c>
      <c r="L34" s="105">
        <f t="shared" si="7"/>
        <v>0</v>
      </c>
      <c r="M34" s="87">
        <f t="shared" si="8"/>
        <v>0</v>
      </c>
      <c r="N34" s="87">
        <f t="shared" si="9"/>
        <v>0</v>
      </c>
      <c r="O34" s="87">
        <f t="shared" si="10"/>
        <v>0</v>
      </c>
      <c r="P34" s="88">
        <f t="shared" si="11"/>
        <v>0</v>
      </c>
    </row>
    <row r="35" spans="1:16" ht="13.2" x14ac:dyDescent="0.2">
      <c r="A35" s="189">
        <v>21</v>
      </c>
      <c r="B35" s="190" t="s">
        <v>56</v>
      </c>
      <c r="C35" s="195" t="s">
        <v>545</v>
      </c>
      <c r="D35" s="190" t="s">
        <v>62</v>
      </c>
      <c r="E35" s="196">
        <v>2</v>
      </c>
      <c r="F35" s="133"/>
      <c r="G35" s="134"/>
      <c r="H35" s="135">
        <f t="shared" si="0"/>
        <v>0</v>
      </c>
      <c r="I35" s="134"/>
      <c r="J35" s="134"/>
      <c r="K35" s="134">
        <f t="shared" si="1"/>
        <v>0</v>
      </c>
      <c r="L35" s="105">
        <f t="shared" si="7"/>
        <v>0</v>
      </c>
      <c r="M35" s="87">
        <f t="shared" si="8"/>
        <v>0</v>
      </c>
      <c r="N35" s="87">
        <f t="shared" si="9"/>
        <v>0</v>
      </c>
      <c r="O35" s="87">
        <f t="shared" si="10"/>
        <v>0</v>
      </c>
      <c r="P35" s="88">
        <f t="shared" si="11"/>
        <v>0</v>
      </c>
    </row>
    <row r="36" spans="1:16" ht="13.2" x14ac:dyDescent="0.2">
      <c r="A36" s="189">
        <v>22</v>
      </c>
      <c r="B36" s="190" t="s">
        <v>56</v>
      </c>
      <c r="C36" s="199" t="s">
        <v>546</v>
      </c>
      <c r="D36" s="198" t="s">
        <v>62</v>
      </c>
      <c r="E36" s="196">
        <v>2</v>
      </c>
      <c r="F36" s="133"/>
      <c r="G36" s="134"/>
      <c r="H36" s="135">
        <f t="shared" si="0"/>
        <v>0</v>
      </c>
      <c r="I36" s="134"/>
      <c r="J36" s="134"/>
      <c r="K36" s="134">
        <f t="shared" si="1"/>
        <v>0</v>
      </c>
      <c r="L36" s="105">
        <f t="shared" si="7"/>
        <v>0</v>
      </c>
      <c r="M36" s="87">
        <f t="shared" si="8"/>
        <v>0</v>
      </c>
      <c r="N36" s="87">
        <f t="shared" si="9"/>
        <v>0</v>
      </c>
      <c r="O36" s="87">
        <f t="shared" si="10"/>
        <v>0</v>
      </c>
      <c r="P36" s="88">
        <f t="shared" si="11"/>
        <v>0</v>
      </c>
    </row>
    <row r="37" spans="1:16" ht="13.2" x14ac:dyDescent="0.2">
      <c r="A37" s="189">
        <v>23</v>
      </c>
      <c r="B37" s="190" t="s">
        <v>56</v>
      </c>
      <c r="C37" s="199" t="s">
        <v>547</v>
      </c>
      <c r="D37" s="198" t="s">
        <v>62</v>
      </c>
      <c r="E37" s="196">
        <v>1</v>
      </c>
      <c r="F37" s="133"/>
      <c r="G37" s="134"/>
      <c r="H37" s="135">
        <f t="shared" si="0"/>
        <v>0</v>
      </c>
      <c r="I37" s="134"/>
      <c r="J37" s="134"/>
      <c r="K37" s="134">
        <f t="shared" si="1"/>
        <v>0</v>
      </c>
      <c r="L37" s="105">
        <f t="shared" si="7"/>
        <v>0</v>
      </c>
      <c r="M37" s="87">
        <f t="shared" si="8"/>
        <v>0</v>
      </c>
      <c r="N37" s="87">
        <f t="shared" si="9"/>
        <v>0</v>
      </c>
      <c r="O37" s="87">
        <f t="shared" si="10"/>
        <v>0</v>
      </c>
      <c r="P37" s="88">
        <f t="shared" si="11"/>
        <v>0</v>
      </c>
    </row>
    <row r="38" spans="1:16" ht="13.2" x14ac:dyDescent="0.2">
      <c r="A38" s="189">
        <v>24</v>
      </c>
      <c r="B38" s="190" t="s">
        <v>56</v>
      </c>
      <c r="C38" s="199" t="s">
        <v>548</v>
      </c>
      <c r="D38" s="198" t="s">
        <v>62</v>
      </c>
      <c r="E38" s="196">
        <v>6</v>
      </c>
      <c r="F38" s="133"/>
      <c r="G38" s="134"/>
      <c r="H38" s="135">
        <f t="shared" si="0"/>
        <v>0</v>
      </c>
      <c r="I38" s="134"/>
      <c r="J38" s="134"/>
      <c r="K38" s="134">
        <f t="shared" si="1"/>
        <v>0</v>
      </c>
      <c r="L38" s="105">
        <f t="shared" si="7"/>
        <v>0</v>
      </c>
      <c r="M38" s="87">
        <f t="shared" si="8"/>
        <v>0</v>
      </c>
      <c r="N38" s="87">
        <f t="shared" si="9"/>
        <v>0</v>
      </c>
      <c r="O38" s="87">
        <f t="shared" si="10"/>
        <v>0</v>
      </c>
      <c r="P38" s="88">
        <f t="shared" si="11"/>
        <v>0</v>
      </c>
    </row>
    <row r="39" spans="1:16" ht="13.2" x14ac:dyDescent="0.2">
      <c r="A39" s="189">
        <v>25</v>
      </c>
      <c r="B39" s="190" t="s">
        <v>56</v>
      </c>
      <c r="C39" s="199" t="s">
        <v>549</v>
      </c>
      <c r="D39" s="198" t="s">
        <v>62</v>
      </c>
      <c r="E39" s="196">
        <v>3</v>
      </c>
      <c r="F39" s="133"/>
      <c r="G39" s="134"/>
      <c r="H39" s="135">
        <f t="shared" si="0"/>
        <v>0</v>
      </c>
      <c r="I39" s="134"/>
      <c r="J39" s="134"/>
      <c r="K39" s="134">
        <f t="shared" si="1"/>
        <v>0</v>
      </c>
      <c r="L39" s="105">
        <f t="shared" si="7"/>
        <v>0</v>
      </c>
      <c r="M39" s="87">
        <f t="shared" si="8"/>
        <v>0</v>
      </c>
      <c r="N39" s="87">
        <f t="shared" si="9"/>
        <v>0</v>
      </c>
      <c r="O39" s="87">
        <f t="shared" si="10"/>
        <v>0</v>
      </c>
      <c r="P39" s="88">
        <f t="shared" si="11"/>
        <v>0</v>
      </c>
    </row>
    <row r="40" spans="1:16" ht="13.2" x14ac:dyDescent="0.2">
      <c r="A40" s="189">
        <v>26</v>
      </c>
      <c r="B40" s="190" t="s">
        <v>56</v>
      </c>
      <c r="C40" s="199" t="s">
        <v>550</v>
      </c>
      <c r="D40" s="198" t="s">
        <v>62</v>
      </c>
      <c r="E40" s="196">
        <v>2</v>
      </c>
      <c r="F40" s="133"/>
      <c r="G40" s="134"/>
      <c r="H40" s="135">
        <f t="shared" si="0"/>
        <v>0</v>
      </c>
      <c r="I40" s="134"/>
      <c r="J40" s="134"/>
      <c r="K40" s="134">
        <f t="shared" si="1"/>
        <v>0</v>
      </c>
      <c r="L40" s="105">
        <f t="shared" si="7"/>
        <v>0</v>
      </c>
      <c r="M40" s="87">
        <f t="shared" si="8"/>
        <v>0</v>
      </c>
      <c r="N40" s="87">
        <f t="shared" si="9"/>
        <v>0</v>
      </c>
      <c r="O40" s="87">
        <f t="shared" si="10"/>
        <v>0</v>
      </c>
      <c r="P40" s="88">
        <f t="shared" si="11"/>
        <v>0</v>
      </c>
    </row>
    <row r="41" spans="1:16" ht="13.2" x14ac:dyDescent="0.2">
      <c r="A41" s="189">
        <v>27</v>
      </c>
      <c r="B41" s="190" t="s">
        <v>56</v>
      </c>
      <c r="C41" s="199" t="s">
        <v>551</v>
      </c>
      <c r="D41" s="198" t="s">
        <v>62</v>
      </c>
      <c r="E41" s="196">
        <v>1</v>
      </c>
      <c r="F41" s="133"/>
      <c r="G41" s="134"/>
      <c r="H41" s="135">
        <f t="shared" si="0"/>
        <v>0</v>
      </c>
      <c r="I41" s="134"/>
      <c r="J41" s="134"/>
      <c r="K41" s="134">
        <f t="shared" si="1"/>
        <v>0</v>
      </c>
      <c r="L41" s="105">
        <f t="shared" si="7"/>
        <v>0</v>
      </c>
      <c r="M41" s="87">
        <f t="shared" si="8"/>
        <v>0</v>
      </c>
      <c r="N41" s="87">
        <f t="shared" si="9"/>
        <v>0</v>
      </c>
      <c r="O41" s="87">
        <f t="shared" si="10"/>
        <v>0</v>
      </c>
      <c r="P41" s="88">
        <f t="shared" si="11"/>
        <v>0</v>
      </c>
    </row>
    <row r="42" spans="1:16" ht="13.2" x14ac:dyDescent="0.2">
      <c r="A42" s="189">
        <v>28</v>
      </c>
      <c r="B42" s="190" t="s">
        <v>56</v>
      </c>
      <c r="C42" s="199" t="s">
        <v>552</v>
      </c>
      <c r="D42" s="198" t="s">
        <v>62</v>
      </c>
      <c r="E42" s="196">
        <v>1</v>
      </c>
      <c r="F42" s="133"/>
      <c r="G42" s="134"/>
      <c r="H42" s="135">
        <f t="shared" si="0"/>
        <v>0</v>
      </c>
      <c r="I42" s="134"/>
      <c r="J42" s="134"/>
      <c r="K42" s="134">
        <f t="shared" si="1"/>
        <v>0</v>
      </c>
      <c r="L42" s="105">
        <f t="shared" si="7"/>
        <v>0</v>
      </c>
      <c r="M42" s="87">
        <f t="shared" si="8"/>
        <v>0</v>
      </c>
      <c r="N42" s="87">
        <f t="shared" si="9"/>
        <v>0</v>
      </c>
      <c r="O42" s="87">
        <f t="shared" si="10"/>
        <v>0</v>
      </c>
      <c r="P42" s="88">
        <f t="shared" si="11"/>
        <v>0</v>
      </c>
    </row>
    <row r="43" spans="1:16" ht="13.2" x14ac:dyDescent="0.2">
      <c r="A43" s="189">
        <v>29</v>
      </c>
      <c r="B43" s="190" t="s">
        <v>56</v>
      </c>
      <c r="C43" s="199" t="s">
        <v>553</v>
      </c>
      <c r="D43" s="198" t="s">
        <v>62</v>
      </c>
      <c r="E43" s="196">
        <v>1</v>
      </c>
      <c r="F43" s="133"/>
      <c r="G43" s="134"/>
      <c r="H43" s="135">
        <f t="shared" si="0"/>
        <v>0</v>
      </c>
      <c r="I43" s="134"/>
      <c r="J43" s="134"/>
      <c r="K43" s="134">
        <f t="shared" si="1"/>
        <v>0</v>
      </c>
      <c r="L43" s="105">
        <f t="shared" si="7"/>
        <v>0</v>
      </c>
      <c r="M43" s="87">
        <f t="shared" si="8"/>
        <v>0</v>
      </c>
      <c r="N43" s="87">
        <f t="shared" si="9"/>
        <v>0</v>
      </c>
      <c r="O43" s="87">
        <f t="shared" si="10"/>
        <v>0</v>
      </c>
      <c r="P43" s="88">
        <f t="shared" si="11"/>
        <v>0</v>
      </c>
    </row>
    <row r="44" spans="1:16" ht="13.2" x14ac:dyDescent="0.2">
      <c r="A44" s="189">
        <v>30</v>
      </c>
      <c r="B44" s="190" t="s">
        <v>56</v>
      </c>
      <c r="C44" s="199" t="s">
        <v>554</v>
      </c>
      <c r="D44" s="198" t="s">
        <v>62</v>
      </c>
      <c r="E44" s="196">
        <v>4</v>
      </c>
      <c r="F44" s="133"/>
      <c r="G44" s="134"/>
      <c r="H44" s="135">
        <f t="shared" si="0"/>
        <v>0</v>
      </c>
      <c r="I44" s="134"/>
      <c r="J44" s="134"/>
      <c r="K44" s="134">
        <f t="shared" si="1"/>
        <v>0</v>
      </c>
      <c r="L44" s="105">
        <f t="shared" si="7"/>
        <v>0</v>
      </c>
      <c r="M44" s="87">
        <f t="shared" si="8"/>
        <v>0</v>
      </c>
      <c r="N44" s="87">
        <f t="shared" si="9"/>
        <v>0</v>
      </c>
      <c r="O44" s="87">
        <f t="shared" si="10"/>
        <v>0</v>
      </c>
      <c r="P44" s="88">
        <f t="shared" si="11"/>
        <v>0</v>
      </c>
    </row>
    <row r="45" spans="1:16" ht="13.2" x14ac:dyDescent="0.2">
      <c r="A45" s="189">
        <v>31</v>
      </c>
      <c r="B45" s="190" t="s">
        <v>56</v>
      </c>
      <c r="C45" s="199" t="s">
        <v>555</v>
      </c>
      <c r="D45" s="198" t="s">
        <v>62</v>
      </c>
      <c r="E45" s="196">
        <v>2</v>
      </c>
      <c r="F45" s="133"/>
      <c r="G45" s="134"/>
      <c r="H45" s="135">
        <f t="shared" si="0"/>
        <v>0</v>
      </c>
      <c r="I45" s="134"/>
      <c r="J45" s="134"/>
      <c r="K45" s="134">
        <f t="shared" si="1"/>
        <v>0</v>
      </c>
      <c r="L45" s="105">
        <f t="shared" si="7"/>
        <v>0</v>
      </c>
      <c r="M45" s="87">
        <f t="shared" si="8"/>
        <v>0</v>
      </c>
      <c r="N45" s="87">
        <f t="shared" si="9"/>
        <v>0</v>
      </c>
      <c r="O45" s="87">
        <f t="shared" si="10"/>
        <v>0</v>
      </c>
      <c r="P45" s="88">
        <f t="shared" si="11"/>
        <v>0</v>
      </c>
    </row>
    <row r="46" spans="1:16" ht="13.2" x14ac:dyDescent="0.2">
      <c r="A46" s="189">
        <v>32</v>
      </c>
      <c r="B46" s="190" t="s">
        <v>56</v>
      </c>
      <c r="C46" s="199" t="s">
        <v>556</v>
      </c>
      <c r="D46" s="198" t="s">
        <v>62</v>
      </c>
      <c r="E46" s="196">
        <v>4</v>
      </c>
      <c r="F46" s="133"/>
      <c r="G46" s="134"/>
      <c r="H46" s="135">
        <f t="shared" si="0"/>
        <v>0</v>
      </c>
      <c r="I46" s="134"/>
      <c r="J46" s="134"/>
      <c r="K46" s="134">
        <f t="shared" si="1"/>
        <v>0</v>
      </c>
      <c r="L46" s="105">
        <f t="shared" si="7"/>
        <v>0</v>
      </c>
      <c r="M46" s="87">
        <f t="shared" si="8"/>
        <v>0</v>
      </c>
      <c r="N46" s="87">
        <f t="shared" si="9"/>
        <v>0</v>
      </c>
      <c r="O46" s="87">
        <f t="shared" si="10"/>
        <v>0</v>
      </c>
      <c r="P46" s="88">
        <f t="shared" si="11"/>
        <v>0</v>
      </c>
    </row>
    <row r="47" spans="1:16" ht="13.2" x14ac:dyDescent="0.2">
      <c r="A47" s="189">
        <v>33</v>
      </c>
      <c r="B47" s="190" t="s">
        <v>56</v>
      </c>
      <c r="C47" s="199" t="s">
        <v>557</v>
      </c>
      <c r="D47" s="198" t="s">
        <v>62</v>
      </c>
      <c r="E47" s="196">
        <v>1</v>
      </c>
      <c r="F47" s="133"/>
      <c r="G47" s="134"/>
      <c r="H47" s="135">
        <f t="shared" si="0"/>
        <v>0</v>
      </c>
      <c r="I47" s="134"/>
      <c r="J47" s="134"/>
      <c r="K47" s="134">
        <f t="shared" si="1"/>
        <v>0</v>
      </c>
      <c r="L47" s="105">
        <f t="shared" si="7"/>
        <v>0</v>
      </c>
      <c r="M47" s="87">
        <f t="shared" si="8"/>
        <v>0</v>
      </c>
      <c r="N47" s="87">
        <f t="shared" si="9"/>
        <v>0</v>
      </c>
      <c r="O47" s="87">
        <f t="shared" si="10"/>
        <v>0</v>
      </c>
      <c r="P47" s="88">
        <f t="shared" si="11"/>
        <v>0</v>
      </c>
    </row>
    <row r="48" spans="1:16" ht="13.2" x14ac:dyDescent="0.2">
      <c r="A48" s="189">
        <v>34</v>
      </c>
      <c r="B48" s="190" t="s">
        <v>56</v>
      </c>
      <c r="C48" s="199" t="s">
        <v>558</v>
      </c>
      <c r="D48" s="198" t="s">
        <v>62</v>
      </c>
      <c r="E48" s="196">
        <v>41</v>
      </c>
      <c r="F48" s="133"/>
      <c r="G48" s="134"/>
      <c r="H48" s="135">
        <f t="shared" si="0"/>
        <v>0</v>
      </c>
      <c r="I48" s="134"/>
      <c r="J48" s="134"/>
      <c r="K48" s="134">
        <f t="shared" si="1"/>
        <v>0</v>
      </c>
      <c r="L48" s="105">
        <f t="shared" si="7"/>
        <v>0</v>
      </c>
      <c r="M48" s="87">
        <f t="shared" si="8"/>
        <v>0</v>
      </c>
      <c r="N48" s="87">
        <f t="shared" si="9"/>
        <v>0</v>
      </c>
      <c r="O48" s="87">
        <f t="shared" si="10"/>
        <v>0</v>
      </c>
      <c r="P48" s="88">
        <f t="shared" si="11"/>
        <v>0</v>
      </c>
    </row>
    <row r="49" spans="1:16" ht="13.2" x14ac:dyDescent="0.2">
      <c r="A49" s="189">
        <v>35</v>
      </c>
      <c r="B49" s="190" t="s">
        <v>56</v>
      </c>
      <c r="C49" s="199" t="s">
        <v>559</v>
      </c>
      <c r="D49" s="198" t="s">
        <v>62</v>
      </c>
      <c r="E49" s="196">
        <v>1</v>
      </c>
      <c r="F49" s="133"/>
      <c r="G49" s="134"/>
      <c r="H49" s="135">
        <f t="shared" si="0"/>
        <v>0</v>
      </c>
      <c r="I49" s="134"/>
      <c r="J49" s="134"/>
      <c r="K49" s="134">
        <f t="shared" si="1"/>
        <v>0</v>
      </c>
      <c r="L49" s="105">
        <f t="shared" si="7"/>
        <v>0</v>
      </c>
      <c r="M49" s="87">
        <f t="shared" si="8"/>
        <v>0</v>
      </c>
      <c r="N49" s="87">
        <f t="shared" si="9"/>
        <v>0</v>
      </c>
      <c r="O49" s="87">
        <f t="shared" si="10"/>
        <v>0</v>
      </c>
      <c r="P49" s="88">
        <f t="shared" si="11"/>
        <v>0</v>
      </c>
    </row>
    <row r="50" spans="1:16" ht="13.2" x14ac:dyDescent="0.2">
      <c r="A50" s="189">
        <v>36</v>
      </c>
      <c r="B50" s="190" t="s">
        <v>56</v>
      </c>
      <c r="C50" s="200" t="s">
        <v>560</v>
      </c>
      <c r="D50" s="201" t="s">
        <v>62</v>
      </c>
      <c r="E50" s="132">
        <v>41</v>
      </c>
      <c r="F50" s="133"/>
      <c r="G50" s="134"/>
      <c r="H50" s="135">
        <f t="shared" si="0"/>
        <v>0</v>
      </c>
      <c r="I50" s="134"/>
      <c r="J50" s="134"/>
      <c r="K50" s="134">
        <f t="shared" si="1"/>
        <v>0</v>
      </c>
      <c r="L50" s="105">
        <f t="shared" si="7"/>
        <v>0</v>
      </c>
      <c r="M50" s="87">
        <f t="shared" si="8"/>
        <v>0</v>
      </c>
      <c r="N50" s="87">
        <f t="shared" si="9"/>
        <v>0</v>
      </c>
      <c r="O50" s="87">
        <f t="shared" si="10"/>
        <v>0</v>
      </c>
      <c r="P50" s="88">
        <f t="shared" si="11"/>
        <v>0</v>
      </c>
    </row>
    <row r="51" spans="1:16" ht="13.2" x14ac:dyDescent="0.2">
      <c r="A51" s="189">
        <v>37</v>
      </c>
      <c r="B51" s="190" t="s">
        <v>56</v>
      </c>
      <c r="C51" s="200" t="s">
        <v>561</v>
      </c>
      <c r="D51" s="201" t="s">
        <v>62</v>
      </c>
      <c r="E51" s="132">
        <v>6</v>
      </c>
      <c r="F51" s="133"/>
      <c r="G51" s="134"/>
      <c r="H51" s="135">
        <f t="shared" si="0"/>
        <v>0</v>
      </c>
      <c r="I51" s="134"/>
      <c r="J51" s="134"/>
      <c r="K51" s="134">
        <f t="shared" si="1"/>
        <v>0</v>
      </c>
      <c r="L51" s="105">
        <f t="shared" si="7"/>
        <v>0</v>
      </c>
      <c r="M51" s="87">
        <f t="shared" si="8"/>
        <v>0</v>
      </c>
      <c r="N51" s="87">
        <f t="shared" si="9"/>
        <v>0</v>
      </c>
      <c r="O51" s="87">
        <f t="shared" si="10"/>
        <v>0</v>
      </c>
      <c r="P51" s="88">
        <f t="shared" si="11"/>
        <v>0</v>
      </c>
    </row>
    <row r="52" spans="1:16" ht="13.2" x14ac:dyDescent="0.2">
      <c r="A52" s="189">
        <v>38</v>
      </c>
      <c r="B52" s="190" t="s">
        <v>56</v>
      </c>
      <c r="C52" s="195" t="s">
        <v>562</v>
      </c>
      <c r="D52" s="190" t="s">
        <v>62</v>
      </c>
      <c r="E52" s="196">
        <v>4</v>
      </c>
      <c r="F52" s="133"/>
      <c r="G52" s="134"/>
      <c r="H52" s="135">
        <f t="shared" si="0"/>
        <v>0</v>
      </c>
      <c r="I52" s="134"/>
      <c r="J52" s="134"/>
      <c r="K52" s="134">
        <f t="shared" si="1"/>
        <v>0</v>
      </c>
      <c r="L52" s="105">
        <f t="shared" si="7"/>
        <v>0</v>
      </c>
      <c r="M52" s="87">
        <f t="shared" si="8"/>
        <v>0</v>
      </c>
      <c r="N52" s="87">
        <f t="shared" si="9"/>
        <v>0</v>
      </c>
      <c r="O52" s="87">
        <f t="shared" si="10"/>
        <v>0</v>
      </c>
      <c r="P52" s="88">
        <f t="shared" si="11"/>
        <v>0</v>
      </c>
    </row>
    <row r="53" spans="1:16" ht="13.2" x14ac:dyDescent="0.2">
      <c r="A53" s="189">
        <v>39</v>
      </c>
      <c r="B53" s="190" t="s">
        <v>56</v>
      </c>
      <c r="C53" s="199" t="s">
        <v>563</v>
      </c>
      <c r="D53" s="198" t="s">
        <v>62</v>
      </c>
      <c r="E53" s="196">
        <v>2</v>
      </c>
      <c r="F53" s="133"/>
      <c r="G53" s="134"/>
      <c r="H53" s="135">
        <f t="shared" si="0"/>
        <v>0</v>
      </c>
      <c r="I53" s="134"/>
      <c r="J53" s="134"/>
      <c r="K53" s="134">
        <f t="shared" si="1"/>
        <v>0</v>
      </c>
      <c r="L53" s="105">
        <f t="shared" si="7"/>
        <v>0</v>
      </c>
      <c r="M53" s="87">
        <f t="shared" si="8"/>
        <v>0</v>
      </c>
      <c r="N53" s="87">
        <f t="shared" si="9"/>
        <v>0</v>
      </c>
      <c r="O53" s="87">
        <f t="shared" si="10"/>
        <v>0</v>
      </c>
      <c r="P53" s="88">
        <f t="shared" si="11"/>
        <v>0</v>
      </c>
    </row>
    <row r="54" spans="1:16" ht="13.2" x14ac:dyDescent="0.2">
      <c r="A54" s="189">
        <v>40</v>
      </c>
      <c r="B54" s="190" t="s">
        <v>56</v>
      </c>
      <c r="C54" s="195" t="s">
        <v>564</v>
      </c>
      <c r="D54" s="190" t="s">
        <v>62</v>
      </c>
      <c r="E54" s="196">
        <v>1</v>
      </c>
      <c r="F54" s="133"/>
      <c r="G54" s="134"/>
      <c r="H54" s="135">
        <f t="shared" si="0"/>
        <v>0</v>
      </c>
      <c r="I54" s="134"/>
      <c r="J54" s="134"/>
      <c r="K54" s="134">
        <f t="shared" si="1"/>
        <v>0</v>
      </c>
      <c r="L54" s="105">
        <f t="shared" si="7"/>
        <v>0</v>
      </c>
      <c r="M54" s="87">
        <f t="shared" si="8"/>
        <v>0</v>
      </c>
      <c r="N54" s="87">
        <f t="shared" si="9"/>
        <v>0</v>
      </c>
      <c r="O54" s="87">
        <f t="shared" si="10"/>
        <v>0</v>
      </c>
      <c r="P54" s="88">
        <f t="shared" si="11"/>
        <v>0</v>
      </c>
    </row>
    <row r="55" spans="1:16" ht="13.2" x14ac:dyDescent="0.2">
      <c r="A55" s="189">
        <v>41</v>
      </c>
      <c r="B55" s="190" t="s">
        <v>56</v>
      </c>
      <c r="C55" s="199" t="s">
        <v>565</v>
      </c>
      <c r="D55" s="198" t="s">
        <v>62</v>
      </c>
      <c r="E55" s="196">
        <v>2</v>
      </c>
      <c r="F55" s="133"/>
      <c r="G55" s="134"/>
      <c r="H55" s="135">
        <f t="shared" si="0"/>
        <v>0</v>
      </c>
      <c r="I55" s="134"/>
      <c r="J55" s="134"/>
      <c r="K55" s="134">
        <f t="shared" si="1"/>
        <v>0</v>
      </c>
      <c r="L55" s="105">
        <f t="shared" si="7"/>
        <v>0</v>
      </c>
      <c r="M55" s="87">
        <f t="shared" si="8"/>
        <v>0</v>
      </c>
      <c r="N55" s="87">
        <f t="shared" si="9"/>
        <v>0</v>
      </c>
      <c r="O55" s="87">
        <f t="shared" si="10"/>
        <v>0</v>
      </c>
      <c r="P55" s="88">
        <f t="shared" si="11"/>
        <v>0</v>
      </c>
    </row>
    <row r="56" spans="1:16" ht="13.2" x14ac:dyDescent="0.2">
      <c r="A56" s="189">
        <v>42</v>
      </c>
      <c r="B56" s="190" t="s">
        <v>56</v>
      </c>
      <c r="C56" s="199" t="s">
        <v>566</v>
      </c>
      <c r="D56" s="198" t="s">
        <v>62</v>
      </c>
      <c r="E56" s="196">
        <v>1</v>
      </c>
      <c r="F56" s="133"/>
      <c r="G56" s="134"/>
      <c r="H56" s="135">
        <f t="shared" si="0"/>
        <v>0</v>
      </c>
      <c r="I56" s="134"/>
      <c r="J56" s="134"/>
      <c r="K56" s="134">
        <f t="shared" si="1"/>
        <v>0</v>
      </c>
      <c r="L56" s="105">
        <f t="shared" si="7"/>
        <v>0</v>
      </c>
      <c r="M56" s="87">
        <f t="shared" si="8"/>
        <v>0</v>
      </c>
      <c r="N56" s="87">
        <f t="shared" si="9"/>
        <v>0</v>
      </c>
      <c r="O56" s="87">
        <f t="shared" si="10"/>
        <v>0</v>
      </c>
      <c r="P56" s="88">
        <f t="shared" si="11"/>
        <v>0</v>
      </c>
    </row>
    <row r="57" spans="1:16" ht="13.2" x14ac:dyDescent="0.2">
      <c r="A57" s="189">
        <v>43</v>
      </c>
      <c r="B57" s="190" t="s">
        <v>56</v>
      </c>
      <c r="C57" s="195" t="s">
        <v>567</v>
      </c>
      <c r="D57" s="190" t="s">
        <v>62</v>
      </c>
      <c r="E57" s="196">
        <v>18</v>
      </c>
      <c r="F57" s="133"/>
      <c r="G57" s="134"/>
      <c r="H57" s="135">
        <f t="shared" si="0"/>
        <v>0</v>
      </c>
      <c r="I57" s="134"/>
      <c r="J57" s="134"/>
      <c r="K57" s="134">
        <f t="shared" si="1"/>
        <v>0</v>
      </c>
      <c r="L57" s="105">
        <f t="shared" si="7"/>
        <v>0</v>
      </c>
      <c r="M57" s="87">
        <f t="shared" si="8"/>
        <v>0</v>
      </c>
      <c r="N57" s="87">
        <f t="shared" si="9"/>
        <v>0</v>
      </c>
      <c r="O57" s="87">
        <f t="shared" si="10"/>
        <v>0</v>
      </c>
      <c r="P57" s="88">
        <f t="shared" si="11"/>
        <v>0</v>
      </c>
    </row>
    <row r="58" spans="1:16" ht="13.2" x14ac:dyDescent="0.2">
      <c r="A58" s="189">
        <v>44</v>
      </c>
      <c r="B58" s="190" t="s">
        <v>56</v>
      </c>
      <c r="C58" s="199" t="s">
        <v>568</v>
      </c>
      <c r="D58" s="198" t="s">
        <v>62</v>
      </c>
      <c r="E58" s="196">
        <v>54</v>
      </c>
      <c r="F58" s="133"/>
      <c r="G58" s="134"/>
      <c r="H58" s="135">
        <f t="shared" si="0"/>
        <v>0</v>
      </c>
      <c r="I58" s="134"/>
      <c r="J58" s="134"/>
      <c r="K58" s="134">
        <f t="shared" si="1"/>
        <v>0</v>
      </c>
      <c r="L58" s="105">
        <f t="shared" si="7"/>
        <v>0</v>
      </c>
      <c r="M58" s="87">
        <f t="shared" si="8"/>
        <v>0</v>
      </c>
      <c r="N58" s="87">
        <f t="shared" si="9"/>
        <v>0</v>
      </c>
      <c r="O58" s="87">
        <f t="shared" si="10"/>
        <v>0</v>
      </c>
      <c r="P58" s="88">
        <f t="shared" si="11"/>
        <v>0</v>
      </c>
    </row>
    <row r="59" spans="1:16" ht="13.2" x14ac:dyDescent="0.2">
      <c r="A59" s="189">
        <v>45</v>
      </c>
      <c r="B59" s="190" t="s">
        <v>56</v>
      </c>
      <c r="C59" s="199" t="s">
        <v>569</v>
      </c>
      <c r="D59" s="198" t="s">
        <v>62</v>
      </c>
      <c r="E59" s="196">
        <v>234</v>
      </c>
      <c r="F59" s="133"/>
      <c r="G59" s="134"/>
      <c r="H59" s="135">
        <f t="shared" si="0"/>
        <v>0</v>
      </c>
      <c r="I59" s="134"/>
      <c r="J59" s="134"/>
      <c r="K59" s="134">
        <f t="shared" si="1"/>
        <v>0</v>
      </c>
      <c r="L59" s="105">
        <f t="shared" si="7"/>
        <v>0</v>
      </c>
      <c r="M59" s="87">
        <f t="shared" si="8"/>
        <v>0</v>
      </c>
      <c r="N59" s="87">
        <f t="shared" si="9"/>
        <v>0</v>
      </c>
      <c r="O59" s="87">
        <f t="shared" si="10"/>
        <v>0</v>
      </c>
      <c r="P59" s="88">
        <f t="shared" si="11"/>
        <v>0</v>
      </c>
    </row>
    <row r="60" spans="1:16" ht="13.2" x14ac:dyDescent="0.2">
      <c r="A60" s="189">
        <v>46</v>
      </c>
      <c r="B60" s="190" t="s">
        <v>56</v>
      </c>
      <c r="C60" s="199" t="s">
        <v>570</v>
      </c>
      <c r="D60" s="198" t="s">
        <v>62</v>
      </c>
      <c r="E60" s="196">
        <v>35</v>
      </c>
      <c r="F60" s="133"/>
      <c r="G60" s="134"/>
      <c r="H60" s="135">
        <f t="shared" si="0"/>
        <v>0</v>
      </c>
      <c r="I60" s="134"/>
      <c r="J60" s="134"/>
      <c r="K60" s="134">
        <f t="shared" si="1"/>
        <v>0</v>
      </c>
      <c r="L60" s="105">
        <f t="shared" si="7"/>
        <v>0</v>
      </c>
      <c r="M60" s="87">
        <f t="shared" si="8"/>
        <v>0</v>
      </c>
      <c r="N60" s="87">
        <f t="shared" si="9"/>
        <v>0</v>
      </c>
      <c r="O60" s="87">
        <f t="shared" si="10"/>
        <v>0</v>
      </c>
      <c r="P60" s="88">
        <f t="shared" si="11"/>
        <v>0</v>
      </c>
    </row>
    <row r="61" spans="1:16" ht="13.2" x14ac:dyDescent="0.2">
      <c r="A61" s="189">
        <v>47</v>
      </c>
      <c r="B61" s="190" t="s">
        <v>56</v>
      </c>
      <c r="C61" s="199" t="s">
        <v>571</v>
      </c>
      <c r="D61" s="198" t="s">
        <v>62</v>
      </c>
      <c r="E61" s="196">
        <v>2</v>
      </c>
      <c r="F61" s="133"/>
      <c r="G61" s="134"/>
      <c r="H61" s="135">
        <f t="shared" si="0"/>
        <v>0</v>
      </c>
      <c r="I61" s="134"/>
      <c r="J61" s="134"/>
      <c r="K61" s="134">
        <f t="shared" si="1"/>
        <v>0</v>
      </c>
      <c r="L61" s="105">
        <f t="shared" si="7"/>
        <v>0</v>
      </c>
      <c r="M61" s="87">
        <f t="shared" si="8"/>
        <v>0</v>
      </c>
      <c r="N61" s="87">
        <f t="shared" si="9"/>
        <v>0</v>
      </c>
      <c r="O61" s="87">
        <f t="shared" si="10"/>
        <v>0</v>
      </c>
      <c r="P61" s="88">
        <f t="shared" si="11"/>
        <v>0</v>
      </c>
    </row>
    <row r="62" spans="1:16" ht="13.2" x14ac:dyDescent="0.2">
      <c r="A62" s="189">
        <v>48</v>
      </c>
      <c r="B62" s="190" t="s">
        <v>56</v>
      </c>
      <c r="C62" s="200" t="s">
        <v>572</v>
      </c>
      <c r="D62" s="198" t="s">
        <v>62</v>
      </c>
      <c r="E62" s="196">
        <v>4</v>
      </c>
      <c r="F62" s="133"/>
      <c r="G62" s="134"/>
      <c r="H62" s="135">
        <f t="shared" si="0"/>
        <v>0</v>
      </c>
      <c r="I62" s="134"/>
      <c r="J62" s="134"/>
      <c r="K62" s="134">
        <f t="shared" si="1"/>
        <v>0</v>
      </c>
      <c r="L62" s="105">
        <f t="shared" si="7"/>
        <v>0</v>
      </c>
      <c r="M62" s="87">
        <f t="shared" si="8"/>
        <v>0</v>
      </c>
      <c r="N62" s="87">
        <f t="shared" si="9"/>
        <v>0</v>
      </c>
      <c r="O62" s="87">
        <f t="shared" si="10"/>
        <v>0</v>
      </c>
      <c r="P62" s="88">
        <f t="shared" si="11"/>
        <v>0</v>
      </c>
    </row>
    <row r="63" spans="1:16" ht="13.2" x14ac:dyDescent="0.2">
      <c r="A63" s="189">
        <v>49</v>
      </c>
      <c r="B63" s="190" t="s">
        <v>56</v>
      </c>
      <c r="C63" s="200" t="s">
        <v>572</v>
      </c>
      <c r="D63" s="198" t="s">
        <v>62</v>
      </c>
      <c r="E63" s="196">
        <v>1</v>
      </c>
      <c r="F63" s="133"/>
      <c r="G63" s="134"/>
      <c r="H63" s="135">
        <f t="shared" si="0"/>
        <v>0</v>
      </c>
      <c r="I63" s="134"/>
      <c r="J63" s="134"/>
      <c r="K63" s="134">
        <f t="shared" si="1"/>
        <v>0</v>
      </c>
      <c r="L63" s="105">
        <f t="shared" si="7"/>
        <v>0</v>
      </c>
      <c r="M63" s="87">
        <f t="shared" si="8"/>
        <v>0</v>
      </c>
      <c r="N63" s="87">
        <f t="shared" si="9"/>
        <v>0</v>
      </c>
      <c r="O63" s="87">
        <f t="shared" si="10"/>
        <v>0</v>
      </c>
      <c r="P63" s="88">
        <f t="shared" si="11"/>
        <v>0</v>
      </c>
    </row>
    <row r="64" spans="1:16" ht="13.2" x14ac:dyDescent="0.2">
      <c r="A64" s="189">
        <v>50</v>
      </c>
      <c r="B64" s="190" t="s">
        <v>56</v>
      </c>
      <c r="C64" s="200" t="s">
        <v>573</v>
      </c>
      <c r="D64" s="198" t="s">
        <v>62</v>
      </c>
      <c r="E64" s="196">
        <v>1</v>
      </c>
      <c r="F64" s="133"/>
      <c r="G64" s="134"/>
      <c r="H64" s="135">
        <f t="shared" si="0"/>
        <v>0</v>
      </c>
      <c r="I64" s="134"/>
      <c r="J64" s="134"/>
      <c r="K64" s="134">
        <f t="shared" si="1"/>
        <v>0</v>
      </c>
      <c r="L64" s="105">
        <f t="shared" si="7"/>
        <v>0</v>
      </c>
      <c r="M64" s="87">
        <f t="shared" si="8"/>
        <v>0</v>
      </c>
      <c r="N64" s="87">
        <f t="shared" si="9"/>
        <v>0</v>
      </c>
      <c r="O64" s="87">
        <f t="shared" si="10"/>
        <v>0</v>
      </c>
      <c r="P64" s="88">
        <f t="shared" si="11"/>
        <v>0</v>
      </c>
    </row>
    <row r="65" spans="1:16" ht="13.2" x14ac:dyDescent="0.2">
      <c r="A65" s="189">
        <v>51</v>
      </c>
      <c r="B65" s="190" t="s">
        <v>56</v>
      </c>
      <c r="C65" s="200" t="s">
        <v>574</v>
      </c>
      <c r="D65" s="198" t="s">
        <v>62</v>
      </c>
      <c r="E65" s="196">
        <v>1</v>
      </c>
      <c r="F65" s="133"/>
      <c r="G65" s="134"/>
      <c r="H65" s="135">
        <f t="shared" si="0"/>
        <v>0</v>
      </c>
      <c r="I65" s="134"/>
      <c r="J65" s="134"/>
      <c r="K65" s="134">
        <f t="shared" si="1"/>
        <v>0</v>
      </c>
      <c r="L65" s="105">
        <f t="shared" si="7"/>
        <v>0</v>
      </c>
      <c r="M65" s="87">
        <f t="shared" si="8"/>
        <v>0</v>
      </c>
      <c r="N65" s="87">
        <f t="shared" si="9"/>
        <v>0</v>
      </c>
      <c r="O65" s="87">
        <f t="shared" si="10"/>
        <v>0</v>
      </c>
      <c r="P65" s="88">
        <f t="shared" si="11"/>
        <v>0</v>
      </c>
    </row>
    <row r="66" spans="1:16" ht="13.2" x14ac:dyDescent="0.2">
      <c r="A66" s="189">
        <v>52</v>
      </c>
      <c r="B66" s="190" t="s">
        <v>56</v>
      </c>
      <c r="C66" s="200" t="s">
        <v>575</v>
      </c>
      <c r="D66" s="198" t="s">
        <v>62</v>
      </c>
      <c r="E66" s="196">
        <v>1</v>
      </c>
      <c r="F66" s="133"/>
      <c r="G66" s="134"/>
      <c r="H66" s="135">
        <f t="shared" si="0"/>
        <v>0</v>
      </c>
      <c r="I66" s="134"/>
      <c r="J66" s="134"/>
      <c r="K66" s="134">
        <f t="shared" si="1"/>
        <v>0</v>
      </c>
      <c r="L66" s="105">
        <f t="shared" si="7"/>
        <v>0</v>
      </c>
      <c r="M66" s="87">
        <f t="shared" si="8"/>
        <v>0</v>
      </c>
      <c r="N66" s="87">
        <f t="shared" si="9"/>
        <v>0</v>
      </c>
      <c r="O66" s="87">
        <f t="shared" si="10"/>
        <v>0</v>
      </c>
      <c r="P66" s="88">
        <f t="shared" si="11"/>
        <v>0</v>
      </c>
    </row>
    <row r="67" spans="1:16" ht="26.4" x14ac:dyDescent="0.2">
      <c r="A67" s="189">
        <v>53</v>
      </c>
      <c r="B67" s="190" t="s">
        <v>56</v>
      </c>
      <c r="C67" s="200" t="s">
        <v>576</v>
      </c>
      <c r="D67" s="198" t="s">
        <v>58</v>
      </c>
      <c r="E67" s="196">
        <v>190</v>
      </c>
      <c r="F67" s="133"/>
      <c r="G67" s="134"/>
      <c r="H67" s="135">
        <f t="shared" si="0"/>
        <v>0</v>
      </c>
      <c r="I67" s="134"/>
      <c r="J67" s="134"/>
      <c r="K67" s="134">
        <f t="shared" si="1"/>
        <v>0</v>
      </c>
      <c r="L67" s="105">
        <f t="shared" si="7"/>
        <v>0</v>
      </c>
      <c r="M67" s="87">
        <f t="shared" si="8"/>
        <v>0</v>
      </c>
      <c r="N67" s="87">
        <f t="shared" si="9"/>
        <v>0</v>
      </c>
      <c r="O67" s="87">
        <f t="shared" si="10"/>
        <v>0</v>
      </c>
      <c r="P67" s="88">
        <f t="shared" si="11"/>
        <v>0</v>
      </c>
    </row>
    <row r="68" spans="1:16" ht="26.4" x14ac:dyDescent="0.2">
      <c r="A68" s="189">
        <v>54</v>
      </c>
      <c r="B68" s="190" t="s">
        <v>56</v>
      </c>
      <c r="C68" s="200" t="s">
        <v>577</v>
      </c>
      <c r="D68" s="198" t="s">
        <v>58</v>
      </c>
      <c r="E68" s="196">
        <v>133</v>
      </c>
      <c r="F68" s="133"/>
      <c r="G68" s="134"/>
      <c r="H68" s="135">
        <f t="shared" si="0"/>
        <v>0</v>
      </c>
      <c r="I68" s="134"/>
      <c r="J68" s="134"/>
      <c r="K68" s="134">
        <f t="shared" si="1"/>
        <v>0</v>
      </c>
      <c r="L68" s="105">
        <f t="shared" si="7"/>
        <v>0</v>
      </c>
      <c r="M68" s="87">
        <f t="shared" si="8"/>
        <v>0</v>
      </c>
      <c r="N68" s="87">
        <f t="shared" si="9"/>
        <v>0</v>
      </c>
      <c r="O68" s="87">
        <f t="shared" si="10"/>
        <v>0</v>
      </c>
      <c r="P68" s="88">
        <f t="shared" si="11"/>
        <v>0</v>
      </c>
    </row>
    <row r="69" spans="1:16" ht="26.4" x14ac:dyDescent="0.2">
      <c r="A69" s="189">
        <v>55</v>
      </c>
      <c r="B69" s="190" t="s">
        <v>56</v>
      </c>
      <c r="C69" s="200" t="s">
        <v>578</v>
      </c>
      <c r="D69" s="198" t="s">
        <v>58</v>
      </c>
      <c r="E69" s="196">
        <v>200</v>
      </c>
      <c r="F69" s="133"/>
      <c r="G69" s="134"/>
      <c r="H69" s="135">
        <f>ROUND(F69*G69,2)</f>
        <v>0</v>
      </c>
      <c r="I69" s="134"/>
      <c r="J69" s="134"/>
      <c r="K69" s="134">
        <f>ROUND(H69+J69+I69,2)</f>
        <v>0</v>
      </c>
      <c r="L69" s="105">
        <f t="shared" si="7"/>
        <v>0</v>
      </c>
      <c r="M69" s="87">
        <f t="shared" si="8"/>
        <v>0</v>
      </c>
      <c r="N69" s="87">
        <f t="shared" si="9"/>
        <v>0</v>
      </c>
      <c r="O69" s="87">
        <f t="shared" si="10"/>
        <v>0</v>
      </c>
      <c r="P69" s="88">
        <f t="shared" si="11"/>
        <v>0</v>
      </c>
    </row>
    <row r="70" spans="1:16" ht="26.4" x14ac:dyDescent="0.2">
      <c r="A70" s="189">
        <v>56</v>
      </c>
      <c r="B70" s="190" t="s">
        <v>56</v>
      </c>
      <c r="C70" s="200" t="s">
        <v>579</v>
      </c>
      <c r="D70" s="198" t="s">
        <v>58</v>
      </c>
      <c r="E70" s="196">
        <v>51</v>
      </c>
      <c r="F70" s="133"/>
      <c r="G70" s="134"/>
      <c r="H70" s="135">
        <f>ROUND(F70*G70,2)</f>
        <v>0</v>
      </c>
      <c r="I70" s="134"/>
      <c r="J70" s="134"/>
      <c r="K70" s="134">
        <f>ROUND(H70+J70+I70,2)</f>
        <v>0</v>
      </c>
      <c r="L70" s="105">
        <f t="shared" si="7"/>
        <v>0</v>
      </c>
      <c r="M70" s="87">
        <f t="shared" si="8"/>
        <v>0</v>
      </c>
      <c r="N70" s="87">
        <f t="shared" si="9"/>
        <v>0</v>
      </c>
      <c r="O70" s="87">
        <f t="shared" si="10"/>
        <v>0</v>
      </c>
      <c r="P70" s="88">
        <f t="shared" si="11"/>
        <v>0</v>
      </c>
    </row>
    <row r="71" spans="1:16" ht="26.4" x14ac:dyDescent="0.2">
      <c r="A71" s="189">
        <v>57</v>
      </c>
      <c r="B71" s="190" t="s">
        <v>56</v>
      </c>
      <c r="C71" s="200" t="s">
        <v>580</v>
      </c>
      <c r="D71" s="198" t="s">
        <v>58</v>
      </c>
      <c r="E71" s="196">
        <v>89</v>
      </c>
      <c r="F71" s="133"/>
      <c r="G71" s="134"/>
      <c r="H71" s="135">
        <f>ROUND(F71*G71,2)</f>
        <v>0</v>
      </c>
      <c r="I71" s="134"/>
      <c r="J71" s="134"/>
      <c r="K71" s="134">
        <f>ROUND(H71+J71+I71,2)</f>
        <v>0</v>
      </c>
      <c r="L71" s="105">
        <f t="shared" si="7"/>
        <v>0</v>
      </c>
      <c r="M71" s="87">
        <f t="shared" si="8"/>
        <v>0</v>
      </c>
      <c r="N71" s="87">
        <f t="shared" si="9"/>
        <v>0</v>
      </c>
      <c r="O71" s="87">
        <f t="shared" si="10"/>
        <v>0</v>
      </c>
      <c r="P71" s="88">
        <f t="shared" si="11"/>
        <v>0</v>
      </c>
    </row>
    <row r="72" spans="1:16" ht="26.4" x14ac:dyDescent="0.2">
      <c r="A72" s="189">
        <v>58</v>
      </c>
      <c r="B72" s="190" t="s">
        <v>56</v>
      </c>
      <c r="C72" s="195" t="s">
        <v>581</v>
      </c>
      <c r="D72" s="190" t="s">
        <v>58</v>
      </c>
      <c r="E72" s="196">
        <v>5</v>
      </c>
      <c r="F72" s="133"/>
      <c r="G72" s="134"/>
      <c r="H72" s="135">
        <f t="shared" si="0"/>
        <v>0</v>
      </c>
      <c r="I72" s="134"/>
      <c r="J72" s="134"/>
      <c r="K72" s="134">
        <f t="shared" si="1"/>
        <v>0</v>
      </c>
      <c r="L72" s="105">
        <f t="shared" si="7"/>
        <v>0</v>
      </c>
      <c r="M72" s="87">
        <f t="shared" si="8"/>
        <v>0</v>
      </c>
      <c r="N72" s="87">
        <f t="shared" si="9"/>
        <v>0</v>
      </c>
      <c r="O72" s="87">
        <f t="shared" si="10"/>
        <v>0</v>
      </c>
      <c r="P72" s="88">
        <f t="shared" si="11"/>
        <v>0</v>
      </c>
    </row>
    <row r="73" spans="1:16" ht="26.4" x14ac:dyDescent="0.2">
      <c r="A73" s="189">
        <v>59</v>
      </c>
      <c r="B73" s="190" t="s">
        <v>56</v>
      </c>
      <c r="C73" s="195" t="s">
        <v>582</v>
      </c>
      <c r="D73" s="190" t="s">
        <v>58</v>
      </c>
      <c r="E73" s="196">
        <v>-79</v>
      </c>
      <c r="F73" s="133"/>
      <c r="G73" s="134"/>
      <c r="H73" s="135">
        <f t="shared" si="0"/>
        <v>0</v>
      </c>
      <c r="I73" s="134"/>
      <c r="J73" s="134"/>
      <c r="K73" s="134">
        <f t="shared" si="1"/>
        <v>0</v>
      </c>
      <c r="L73" s="105">
        <f t="shared" si="7"/>
        <v>0</v>
      </c>
      <c r="M73" s="87">
        <f t="shared" si="8"/>
        <v>0</v>
      </c>
      <c r="N73" s="87">
        <f t="shared" si="9"/>
        <v>0</v>
      </c>
      <c r="O73" s="87">
        <f t="shared" si="10"/>
        <v>0</v>
      </c>
      <c r="P73" s="88">
        <f t="shared" si="11"/>
        <v>0</v>
      </c>
    </row>
    <row r="74" spans="1:16" ht="52.8" x14ac:dyDescent="0.2">
      <c r="A74" s="189">
        <v>60</v>
      </c>
      <c r="B74" s="190" t="s">
        <v>56</v>
      </c>
      <c r="C74" s="195" t="s">
        <v>583</v>
      </c>
      <c r="D74" s="190" t="s">
        <v>58</v>
      </c>
      <c r="E74" s="196">
        <v>550</v>
      </c>
      <c r="F74" s="133"/>
      <c r="G74" s="134"/>
      <c r="H74" s="135">
        <f t="shared" si="0"/>
        <v>0</v>
      </c>
      <c r="I74" s="134"/>
      <c r="J74" s="134"/>
      <c r="K74" s="134">
        <f t="shared" si="1"/>
        <v>0</v>
      </c>
      <c r="L74" s="105">
        <f t="shared" si="7"/>
        <v>0</v>
      </c>
      <c r="M74" s="87">
        <f t="shared" si="8"/>
        <v>0</v>
      </c>
      <c r="N74" s="87">
        <f t="shared" si="9"/>
        <v>0</v>
      </c>
      <c r="O74" s="87">
        <f t="shared" si="10"/>
        <v>0</v>
      </c>
      <c r="P74" s="88">
        <f t="shared" si="11"/>
        <v>0</v>
      </c>
    </row>
    <row r="75" spans="1:16" ht="52.8" x14ac:dyDescent="0.2">
      <c r="A75" s="189">
        <v>61</v>
      </c>
      <c r="B75" s="190" t="s">
        <v>56</v>
      </c>
      <c r="C75" s="200" t="s">
        <v>584</v>
      </c>
      <c r="D75" s="198" t="s">
        <v>58</v>
      </c>
      <c r="E75" s="196">
        <v>142</v>
      </c>
      <c r="F75" s="133"/>
      <c r="G75" s="134"/>
      <c r="H75" s="135">
        <f t="shared" si="0"/>
        <v>0</v>
      </c>
      <c r="I75" s="134"/>
      <c r="J75" s="134"/>
      <c r="K75" s="134">
        <f t="shared" si="1"/>
        <v>0</v>
      </c>
      <c r="L75" s="105">
        <f t="shared" si="7"/>
        <v>0</v>
      </c>
      <c r="M75" s="87">
        <f t="shared" si="8"/>
        <v>0</v>
      </c>
      <c r="N75" s="87">
        <f t="shared" si="9"/>
        <v>0</v>
      </c>
      <c r="O75" s="87">
        <f t="shared" si="10"/>
        <v>0</v>
      </c>
      <c r="P75" s="88">
        <f t="shared" si="11"/>
        <v>0</v>
      </c>
    </row>
    <row r="76" spans="1:16" ht="52.8" x14ac:dyDescent="0.2">
      <c r="A76" s="189">
        <v>62</v>
      </c>
      <c r="B76" s="190" t="s">
        <v>56</v>
      </c>
      <c r="C76" s="200" t="s">
        <v>585</v>
      </c>
      <c r="D76" s="198" t="s">
        <v>58</v>
      </c>
      <c r="E76" s="196">
        <v>240</v>
      </c>
      <c r="F76" s="133"/>
      <c r="G76" s="134"/>
      <c r="H76" s="135">
        <f t="shared" si="0"/>
        <v>0</v>
      </c>
      <c r="I76" s="134"/>
      <c r="J76" s="134"/>
      <c r="K76" s="134">
        <f t="shared" si="1"/>
        <v>0</v>
      </c>
      <c r="L76" s="105">
        <f t="shared" si="7"/>
        <v>0</v>
      </c>
      <c r="M76" s="87">
        <f t="shared" si="8"/>
        <v>0</v>
      </c>
      <c r="N76" s="87">
        <f t="shared" si="9"/>
        <v>0</v>
      </c>
      <c r="O76" s="87">
        <f t="shared" si="10"/>
        <v>0</v>
      </c>
      <c r="P76" s="88">
        <f t="shared" si="11"/>
        <v>0</v>
      </c>
    </row>
    <row r="77" spans="1:16" ht="52.8" x14ac:dyDescent="0.2">
      <c r="A77" s="189">
        <v>63</v>
      </c>
      <c r="B77" s="190" t="s">
        <v>56</v>
      </c>
      <c r="C77" s="195" t="s">
        <v>586</v>
      </c>
      <c r="D77" s="190" t="s">
        <v>58</v>
      </c>
      <c r="E77" s="196">
        <v>30</v>
      </c>
      <c r="F77" s="133"/>
      <c r="G77" s="134"/>
      <c r="H77" s="135">
        <f t="shared" si="0"/>
        <v>0</v>
      </c>
      <c r="I77" s="134"/>
      <c r="J77" s="134"/>
      <c r="K77" s="134">
        <f t="shared" si="1"/>
        <v>0</v>
      </c>
      <c r="L77" s="105">
        <f t="shared" si="7"/>
        <v>0</v>
      </c>
      <c r="M77" s="87">
        <f t="shared" si="8"/>
        <v>0</v>
      </c>
      <c r="N77" s="87">
        <f t="shared" si="9"/>
        <v>0</v>
      </c>
      <c r="O77" s="87">
        <f t="shared" si="10"/>
        <v>0</v>
      </c>
      <c r="P77" s="88">
        <f t="shared" si="11"/>
        <v>0</v>
      </c>
    </row>
    <row r="78" spans="1:16" ht="52.8" x14ac:dyDescent="0.2">
      <c r="A78" s="189">
        <v>64</v>
      </c>
      <c r="B78" s="190" t="s">
        <v>56</v>
      </c>
      <c r="C78" s="200" t="s">
        <v>587</v>
      </c>
      <c r="D78" s="198" t="s">
        <v>58</v>
      </c>
      <c r="E78" s="196">
        <v>54</v>
      </c>
      <c r="F78" s="133"/>
      <c r="G78" s="134"/>
      <c r="H78" s="135">
        <f t="shared" si="0"/>
        <v>0</v>
      </c>
      <c r="I78" s="134"/>
      <c r="J78" s="134"/>
      <c r="K78" s="134">
        <f t="shared" si="1"/>
        <v>0</v>
      </c>
      <c r="L78" s="105">
        <f t="shared" si="7"/>
        <v>0</v>
      </c>
      <c r="M78" s="87">
        <f t="shared" si="8"/>
        <v>0</v>
      </c>
      <c r="N78" s="87">
        <f t="shared" si="9"/>
        <v>0</v>
      </c>
      <c r="O78" s="87">
        <f t="shared" si="10"/>
        <v>0</v>
      </c>
      <c r="P78" s="88">
        <f t="shared" si="11"/>
        <v>0</v>
      </c>
    </row>
    <row r="79" spans="1:16" ht="13.2" x14ac:dyDescent="0.2">
      <c r="A79" s="189">
        <v>65</v>
      </c>
      <c r="B79" s="190" t="s">
        <v>56</v>
      </c>
      <c r="C79" s="200" t="s">
        <v>588</v>
      </c>
      <c r="D79" s="198" t="s">
        <v>62</v>
      </c>
      <c r="E79" s="196">
        <v>1</v>
      </c>
      <c r="F79" s="133"/>
      <c r="G79" s="134"/>
      <c r="H79" s="135">
        <f t="shared" ref="H79:H90" si="12">ROUND(F79*G79,2)</f>
        <v>0</v>
      </c>
      <c r="I79" s="134"/>
      <c r="J79" s="134"/>
      <c r="K79" s="134">
        <f t="shared" si="1"/>
        <v>0</v>
      </c>
      <c r="L79" s="105">
        <f t="shared" si="7"/>
        <v>0</v>
      </c>
      <c r="M79" s="87">
        <f t="shared" si="8"/>
        <v>0</v>
      </c>
      <c r="N79" s="87">
        <f t="shared" si="9"/>
        <v>0</v>
      </c>
      <c r="O79" s="87">
        <f t="shared" si="10"/>
        <v>0</v>
      </c>
      <c r="P79" s="88">
        <f t="shared" si="11"/>
        <v>0</v>
      </c>
    </row>
    <row r="80" spans="1:16" ht="13.2" x14ac:dyDescent="0.2">
      <c r="A80" s="189">
        <v>66</v>
      </c>
      <c r="B80" s="190" t="s">
        <v>56</v>
      </c>
      <c r="C80" s="200" t="s">
        <v>589</v>
      </c>
      <c r="D80" s="198" t="s">
        <v>60</v>
      </c>
      <c r="E80" s="196">
        <v>1</v>
      </c>
      <c r="F80" s="133"/>
      <c r="G80" s="134"/>
      <c r="H80" s="135"/>
      <c r="I80" s="134"/>
      <c r="J80" s="134"/>
      <c r="K80" s="134">
        <f t="shared" si="1"/>
        <v>0</v>
      </c>
      <c r="L80" s="105">
        <f t="shared" ref="L80:L98" si="13">ROUND(E80*F80,2)</f>
        <v>0</v>
      </c>
      <c r="M80" s="87">
        <f t="shared" ref="M80:M98" si="14">ROUND(E80*H80,2)</f>
        <v>0</v>
      </c>
      <c r="N80" s="87">
        <f t="shared" ref="N80:N98" si="15">ROUND(E80*I80,2)</f>
        <v>0</v>
      </c>
      <c r="O80" s="87">
        <f t="shared" ref="O80:O98" si="16">ROUND(E80*J80,2)</f>
        <v>0</v>
      </c>
      <c r="P80" s="88">
        <f t="shared" ref="P80:P98" si="17">ROUND(O80+N80+M80,2)</f>
        <v>0</v>
      </c>
    </row>
    <row r="81" spans="1:16" ht="13.2" x14ac:dyDescent="0.2">
      <c r="A81" s="189">
        <v>67</v>
      </c>
      <c r="B81" s="190" t="s">
        <v>56</v>
      </c>
      <c r="C81" s="200" t="s">
        <v>590</v>
      </c>
      <c r="D81" s="198" t="s">
        <v>60</v>
      </c>
      <c r="E81" s="196">
        <v>85</v>
      </c>
      <c r="F81" s="133"/>
      <c r="G81" s="134"/>
      <c r="H81" s="135">
        <f t="shared" si="12"/>
        <v>0</v>
      </c>
      <c r="I81" s="134"/>
      <c r="J81" s="134"/>
      <c r="K81" s="134">
        <f t="shared" si="1"/>
        <v>0</v>
      </c>
      <c r="L81" s="105">
        <f t="shared" si="13"/>
        <v>0</v>
      </c>
      <c r="M81" s="87">
        <f t="shared" si="14"/>
        <v>0</v>
      </c>
      <c r="N81" s="87">
        <f t="shared" si="15"/>
        <v>0</v>
      </c>
      <c r="O81" s="87">
        <f t="shared" si="16"/>
        <v>0</v>
      </c>
      <c r="P81" s="88">
        <f t="shared" si="17"/>
        <v>0</v>
      </c>
    </row>
    <row r="82" spans="1:16" ht="13.2" x14ac:dyDescent="0.2">
      <c r="A82" s="189"/>
      <c r="B82" s="190"/>
      <c r="C82" s="203" t="s">
        <v>591</v>
      </c>
      <c r="D82" s="190"/>
      <c r="E82" s="196"/>
      <c r="F82" s="133"/>
      <c r="G82" s="134"/>
      <c r="H82" s="135"/>
      <c r="I82" s="134"/>
      <c r="J82" s="134"/>
      <c r="K82" s="134"/>
      <c r="L82" s="105"/>
      <c r="M82" s="87"/>
      <c r="N82" s="87"/>
      <c r="O82" s="87"/>
      <c r="P82" s="88"/>
    </row>
    <row r="83" spans="1:16" ht="13.2" x14ac:dyDescent="0.2">
      <c r="A83" s="189">
        <v>1</v>
      </c>
      <c r="B83" s="190" t="s">
        <v>56</v>
      </c>
      <c r="C83" s="202" t="s">
        <v>592</v>
      </c>
      <c r="D83" s="190" t="s">
        <v>58</v>
      </c>
      <c r="E83" s="196">
        <v>480</v>
      </c>
      <c r="F83" s="133"/>
      <c r="G83" s="134"/>
      <c r="H83" s="135">
        <f t="shared" si="12"/>
        <v>0</v>
      </c>
      <c r="I83" s="134"/>
      <c r="J83" s="134"/>
      <c r="K83" s="134">
        <f t="shared" si="1"/>
        <v>0</v>
      </c>
      <c r="L83" s="105">
        <f t="shared" si="13"/>
        <v>0</v>
      </c>
      <c r="M83" s="87">
        <f t="shared" si="14"/>
        <v>0</v>
      </c>
      <c r="N83" s="87">
        <f t="shared" si="15"/>
        <v>0</v>
      </c>
      <c r="O83" s="87">
        <f t="shared" si="16"/>
        <v>0</v>
      </c>
      <c r="P83" s="88">
        <f t="shared" si="17"/>
        <v>0</v>
      </c>
    </row>
    <row r="84" spans="1:16" ht="13.2" x14ac:dyDescent="0.2">
      <c r="A84" s="189">
        <v>2</v>
      </c>
      <c r="B84" s="190" t="s">
        <v>56</v>
      </c>
      <c r="C84" s="195" t="s">
        <v>593</v>
      </c>
      <c r="D84" s="190" t="s">
        <v>62</v>
      </c>
      <c r="E84" s="196">
        <v>75</v>
      </c>
      <c r="F84" s="133"/>
      <c r="G84" s="134"/>
      <c r="H84" s="135">
        <f t="shared" si="12"/>
        <v>0</v>
      </c>
      <c r="I84" s="134"/>
      <c r="J84" s="134"/>
      <c r="K84" s="134">
        <f t="shared" si="1"/>
        <v>0</v>
      </c>
      <c r="L84" s="105">
        <f t="shared" si="13"/>
        <v>0</v>
      </c>
      <c r="M84" s="87">
        <f t="shared" si="14"/>
        <v>0</v>
      </c>
      <c r="N84" s="87">
        <f t="shared" si="15"/>
        <v>0</v>
      </c>
      <c r="O84" s="87">
        <f t="shared" si="16"/>
        <v>0</v>
      </c>
      <c r="P84" s="88">
        <f t="shared" si="17"/>
        <v>0</v>
      </c>
    </row>
    <row r="85" spans="1:16" ht="13.2" x14ac:dyDescent="0.2">
      <c r="A85" s="189">
        <v>3</v>
      </c>
      <c r="B85" s="190" t="s">
        <v>56</v>
      </c>
      <c r="C85" s="195" t="s">
        <v>594</v>
      </c>
      <c r="D85" s="190" t="s">
        <v>62</v>
      </c>
      <c r="E85" s="196">
        <v>104</v>
      </c>
      <c r="F85" s="133"/>
      <c r="G85" s="134"/>
      <c r="H85" s="135">
        <f t="shared" si="12"/>
        <v>0</v>
      </c>
      <c r="I85" s="134"/>
      <c r="J85" s="134"/>
      <c r="K85" s="134">
        <f t="shared" si="1"/>
        <v>0</v>
      </c>
      <c r="L85" s="105">
        <f t="shared" si="13"/>
        <v>0</v>
      </c>
      <c r="M85" s="87">
        <f t="shared" si="14"/>
        <v>0</v>
      </c>
      <c r="N85" s="87">
        <f t="shared" si="15"/>
        <v>0</v>
      </c>
      <c r="O85" s="87">
        <f t="shared" si="16"/>
        <v>0</v>
      </c>
      <c r="P85" s="88">
        <f t="shared" si="17"/>
        <v>0</v>
      </c>
    </row>
    <row r="86" spans="1:16" ht="13.2" x14ac:dyDescent="0.2">
      <c r="A86" s="189">
        <v>4</v>
      </c>
      <c r="B86" s="190" t="s">
        <v>56</v>
      </c>
      <c r="C86" s="195" t="s">
        <v>595</v>
      </c>
      <c r="D86" s="190" t="s">
        <v>62</v>
      </c>
      <c r="E86" s="196">
        <v>62</v>
      </c>
      <c r="F86" s="133"/>
      <c r="G86" s="134"/>
      <c r="H86" s="135">
        <f t="shared" si="12"/>
        <v>0</v>
      </c>
      <c r="I86" s="134"/>
      <c r="J86" s="134"/>
      <c r="K86" s="134">
        <f t="shared" si="1"/>
        <v>0</v>
      </c>
      <c r="L86" s="105">
        <f t="shared" si="13"/>
        <v>0</v>
      </c>
      <c r="M86" s="87">
        <f t="shared" si="14"/>
        <v>0</v>
      </c>
      <c r="N86" s="87">
        <f t="shared" si="15"/>
        <v>0</v>
      </c>
      <c r="O86" s="87">
        <f t="shared" si="16"/>
        <v>0</v>
      </c>
      <c r="P86" s="88">
        <f t="shared" si="17"/>
        <v>0</v>
      </c>
    </row>
    <row r="87" spans="1:16" ht="26.4" x14ac:dyDescent="0.2">
      <c r="A87" s="189">
        <v>5</v>
      </c>
      <c r="B87" s="190" t="s">
        <v>56</v>
      </c>
      <c r="C87" s="195" t="s">
        <v>596</v>
      </c>
      <c r="D87" s="190" t="s">
        <v>58</v>
      </c>
      <c r="E87" s="132">
        <v>480</v>
      </c>
      <c r="F87" s="133"/>
      <c r="G87" s="134"/>
      <c r="H87" s="135">
        <f t="shared" si="12"/>
        <v>0</v>
      </c>
      <c r="I87" s="134"/>
      <c r="J87" s="134"/>
      <c r="K87" s="134">
        <f t="shared" si="1"/>
        <v>0</v>
      </c>
      <c r="L87" s="105">
        <f t="shared" si="13"/>
        <v>0</v>
      </c>
      <c r="M87" s="87">
        <f t="shared" si="14"/>
        <v>0</v>
      </c>
      <c r="N87" s="87">
        <f t="shared" si="15"/>
        <v>0</v>
      </c>
      <c r="O87" s="87">
        <f t="shared" si="16"/>
        <v>0</v>
      </c>
      <c r="P87" s="88">
        <f t="shared" si="17"/>
        <v>0</v>
      </c>
    </row>
    <row r="88" spans="1:16" ht="13.2" x14ac:dyDescent="0.2">
      <c r="A88" s="189">
        <v>6</v>
      </c>
      <c r="B88" s="190" t="s">
        <v>56</v>
      </c>
      <c r="C88" s="197" t="s">
        <v>597</v>
      </c>
      <c r="D88" s="198" t="s">
        <v>62</v>
      </c>
      <c r="E88" s="196">
        <v>114</v>
      </c>
      <c r="F88" s="133"/>
      <c r="G88" s="134"/>
      <c r="H88" s="135">
        <f t="shared" si="12"/>
        <v>0</v>
      </c>
      <c r="I88" s="134"/>
      <c r="J88" s="134"/>
      <c r="K88" s="134">
        <f t="shared" si="1"/>
        <v>0</v>
      </c>
      <c r="L88" s="105">
        <f t="shared" si="13"/>
        <v>0</v>
      </c>
      <c r="M88" s="87">
        <f t="shared" si="14"/>
        <v>0</v>
      </c>
      <c r="N88" s="87">
        <f t="shared" si="15"/>
        <v>0</v>
      </c>
      <c r="O88" s="87">
        <f t="shared" si="16"/>
        <v>0</v>
      </c>
      <c r="P88" s="88">
        <f t="shared" si="17"/>
        <v>0</v>
      </c>
    </row>
    <row r="89" spans="1:16" ht="39.6" x14ac:dyDescent="0.2">
      <c r="A89" s="189">
        <v>7</v>
      </c>
      <c r="B89" s="190" t="s">
        <v>56</v>
      </c>
      <c r="C89" s="195" t="s">
        <v>598</v>
      </c>
      <c r="D89" s="193" t="s">
        <v>599</v>
      </c>
      <c r="E89" s="196">
        <v>5</v>
      </c>
      <c r="F89" s="133"/>
      <c r="G89" s="134"/>
      <c r="H89" s="135">
        <f t="shared" si="12"/>
        <v>0</v>
      </c>
      <c r="I89" s="134"/>
      <c r="J89" s="134"/>
      <c r="K89" s="134">
        <f t="shared" si="1"/>
        <v>0</v>
      </c>
      <c r="L89" s="105">
        <f t="shared" si="13"/>
        <v>0</v>
      </c>
      <c r="M89" s="87">
        <f t="shared" si="14"/>
        <v>0</v>
      </c>
      <c r="N89" s="87">
        <f t="shared" si="15"/>
        <v>0</v>
      </c>
      <c r="O89" s="87">
        <f t="shared" si="16"/>
        <v>0</v>
      </c>
      <c r="P89" s="88">
        <f t="shared" si="17"/>
        <v>0</v>
      </c>
    </row>
    <row r="90" spans="1:16" ht="13.2" x14ac:dyDescent="0.2">
      <c r="A90" s="189">
        <v>8</v>
      </c>
      <c r="B90" s="190" t="s">
        <v>56</v>
      </c>
      <c r="C90" s="195" t="s">
        <v>600</v>
      </c>
      <c r="D90" s="193" t="s">
        <v>58</v>
      </c>
      <c r="E90" s="196">
        <v>39</v>
      </c>
      <c r="F90" s="133"/>
      <c r="G90" s="134"/>
      <c r="H90" s="135">
        <f t="shared" si="12"/>
        <v>0</v>
      </c>
      <c r="I90" s="134"/>
      <c r="J90" s="134"/>
      <c r="K90" s="134">
        <f t="shared" si="1"/>
        <v>0</v>
      </c>
      <c r="L90" s="105">
        <f t="shared" si="13"/>
        <v>0</v>
      </c>
      <c r="M90" s="87">
        <f t="shared" si="14"/>
        <v>0</v>
      </c>
      <c r="N90" s="87">
        <f t="shared" si="15"/>
        <v>0</v>
      </c>
      <c r="O90" s="87">
        <f t="shared" si="16"/>
        <v>0</v>
      </c>
      <c r="P90" s="88">
        <f t="shared" si="17"/>
        <v>0</v>
      </c>
    </row>
    <row r="91" spans="1:16" ht="13.2" x14ac:dyDescent="0.2">
      <c r="A91" s="189"/>
      <c r="B91" s="190"/>
      <c r="C91" s="203" t="s">
        <v>601</v>
      </c>
      <c r="D91" s="193"/>
      <c r="E91" s="132"/>
      <c r="F91" s="133"/>
      <c r="G91" s="134"/>
      <c r="H91" s="135"/>
      <c r="I91" s="134"/>
      <c r="J91" s="134"/>
      <c r="K91" s="134"/>
      <c r="L91" s="105"/>
      <c r="M91" s="87"/>
      <c r="N91" s="87"/>
      <c r="O91" s="87"/>
      <c r="P91" s="88"/>
    </row>
    <row r="92" spans="1:16" ht="13.2" x14ac:dyDescent="0.2">
      <c r="A92" s="189">
        <v>1</v>
      </c>
      <c r="B92" s="190" t="s">
        <v>56</v>
      </c>
      <c r="C92" s="195" t="s">
        <v>513</v>
      </c>
      <c r="D92" s="193" t="s">
        <v>60</v>
      </c>
      <c r="E92" s="132">
        <v>1</v>
      </c>
      <c r="F92" s="133"/>
      <c r="G92" s="134"/>
      <c r="H92" s="135"/>
      <c r="I92" s="134"/>
      <c r="J92" s="134"/>
      <c r="K92" s="134">
        <f t="shared" si="1"/>
        <v>0</v>
      </c>
      <c r="L92" s="105">
        <f t="shared" si="13"/>
        <v>0</v>
      </c>
      <c r="M92" s="87">
        <f t="shared" si="14"/>
        <v>0</v>
      </c>
      <c r="N92" s="87">
        <f t="shared" si="15"/>
        <v>0</v>
      </c>
      <c r="O92" s="87">
        <f t="shared" si="16"/>
        <v>0</v>
      </c>
      <c r="P92" s="88">
        <f t="shared" si="17"/>
        <v>0</v>
      </c>
    </row>
    <row r="93" spans="1:16" ht="13.2" x14ac:dyDescent="0.2">
      <c r="A93" s="189">
        <v>2</v>
      </c>
      <c r="B93" s="190" t="s">
        <v>56</v>
      </c>
      <c r="C93" s="195" t="s">
        <v>514</v>
      </c>
      <c r="D93" s="193" t="s">
        <v>60</v>
      </c>
      <c r="E93" s="132">
        <v>1</v>
      </c>
      <c r="F93" s="133"/>
      <c r="G93" s="134"/>
      <c r="H93" s="135"/>
      <c r="I93" s="134"/>
      <c r="J93" s="134"/>
      <c r="K93" s="134">
        <f t="shared" si="1"/>
        <v>0</v>
      </c>
      <c r="L93" s="105">
        <f t="shared" si="13"/>
        <v>0</v>
      </c>
      <c r="M93" s="87">
        <f t="shared" si="14"/>
        <v>0</v>
      </c>
      <c r="N93" s="87">
        <f t="shared" si="15"/>
        <v>0</v>
      </c>
      <c r="O93" s="87">
        <f t="shared" si="16"/>
        <v>0</v>
      </c>
      <c r="P93" s="88">
        <f t="shared" si="17"/>
        <v>0</v>
      </c>
    </row>
    <row r="94" spans="1:16" ht="13.2" x14ac:dyDescent="0.2">
      <c r="A94" s="189">
        <v>3</v>
      </c>
      <c r="B94" s="190" t="s">
        <v>56</v>
      </c>
      <c r="C94" s="195" t="s">
        <v>316</v>
      </c>
      <c r="D94" s="193" t="s">
        <v>60</v>
      </c>
      <c r="E94" s="132">
        <v>1</v>
      </c>
      <c r="F94" s="133"/>
      <c r="G94" s="134"/>
      <c r="H94" s="135"/>
      <c r="I94" s="134"/>
      <c r="J94" s="134"/>
      <c r="K94" s="134">
        <f t="shared" si="1"/>
        <v>0</v>
      </c>
      <c r="L94" s="105">
        <f t="shared" si="13"/>
        <v>0</v>
      </c>
      <c r="M94" s="87">
        <f t="shared" si="14"/>
        <v>0</v>
      </c>
      <c r="N94" s="87">
        <f t="shared" si="15"/>
        <v>0</v>
      </c>
      <c r="O94" s="87">
        <f t="shared" si="16"/>
        <v>0</v>
      </c>
      <c r="P94" s="88">
        <f t="shared" si="17"/>
        <v>0</v>
      </c>
    </row>
    <row r="95" spans="1:16" ht="13.2" x14ac:dyDescent="0.2">
      <c r="A95" s="189">
        <v>4</v>
      </c>
      <c r="B95" s="190" t="s">
        <v>56</v>
      </c>
      <c r="C95" s="163" t="s">
        <v>515</v>
      </c>
      <c r="D95" s="191" t="s">
        <v>60</v>
      </c>
      <c r="E95" s="132">
        <v>1</v>
      </c>
      <c r="F95" s="133"/>
      <c r="G95" s="134"/>
      <c r="H95" s="135"/>
      <c r="I95" s="134"/>
      <c r="J95" s="134"/>
      <c r="K95" s="134">
        <f t="shared" ref="K95:K98" si="18">ROUND(H95+J95+I95,2)</f>
        <v>0</v>
      </c>
      <c r="L95" s="105">
        <f t="shared" si="13"/>
        <v>0</v>
      </c>
      <c r="M95" s="87">
        <f t="shared" si="14"/>
        <v>0</v>
      </c>
      <c r="N95" s="87">
        <f t="shared" si="15"/>
        <v>0</v>
      </c>
      <c r="O95" s="87">
        <f t="shared" si="16"/>
        <v>0</v>
      </c>
      <c r="P95" s="88">
        <f t="shared" si="17"/>
        <v>0</v>
      </c>
    </row>
    <row r="96" spans="1:16" ht="39.6" x14ac:dyDescent="0.2">
      <c r="A96" s="189">
        <v>5</v>
      </c>
      <c r="B96" s="190" t="s">
        <v>56</v>
      </c>
      <c r="C96" s="163" t="s">
        <v>602</v>
      </c>
      <c r="D96" s="191" t="s">
        <v>60</v>
      </c>
      <c r="E96" s="132">
        <v>1</v>
      </c>
      <c r="F96" s="133"/>
      <c r="G96" s="134"/>
      <c r="H96" s="135">
        <f t="shared" ref="H96:H98" si="19">ROUND(F96*G96,2)</f>
        <v>0</v>
      </c>
      <c r="I96" s="134"/>
      <c r="J96" s="134"/>
      <c r="K96" s="134">
        <f t="shared" si="18"/>
        <v>0</v>
      </c>
      <c r="L96" s="105">
        <f t="shared" si="13"/>
        <v>0</v>
      </c>
      <c r="M96" s="87">
        <f t="shared" si="14"/>
        <v>0</v>
      </c>
      <c r="N96" s="87">
        <f t="shared" si="15"/>
        <v>0</v>
      </c>
      <c r="O96" s="87">
        <f t="shared" si="16"/>
        <v>0</v>
      </c>
      <c r="P96" s="88">
        <f t="shared" si="17"/>
        <v>0</v>
      </c>
    </row>
    <row r="97" spans="1:16" ht="13.2" x14ac:dyDescent="0.2">
      <c r="A97" s="189">
        <v>6</v>
      </c>
      <c r="B97" s="190" t="s">
        <v>56</v>
      </c>
      <c r="C97" s="163" t="s">
        <v>603</v>
      </c>
      <c r="D97" s="191" t="s">
        <v>437</v>
      </c>
      <c r="E97" s="132">
        <v>1</v>
      </c>
      <c r="F97" s="133"/>
      <c r="G97" s="134"/>
      <c r="H97" s="135">
        <f t="shared" si="19"/>
        <v>0</v>
      </c>
      <c r="I97" s="134"/>
      <c r="J97" s="134"/>
      <c r="K97" s="134">
        <f t="shared" si="18"/>
        <v>0</v>
      </c>
      <c r="L97" s="105">
        <f t="shared" si="13"/>
        <v>0</v>
      </c>
      <c r="M97" s="87">
        <f t="shared" si="14"/>
        <v>0</v>
      </c>
      <c r="N97" s="87">
        <f t="shared" si="15"/>
        <v>0</v>
      </c>
      <c r="O97" s="87">
        <f t="shared" si="16"/>
        <v>0</v>
      </c>
      <c r="P97" s="88">
        <f t="shared" si="17"/>
        <v>0</v>
      </c>
    </row>
    <row r="98" spans="1:16" ht="13.8" thickBot="1" x14ac:dyDescent="0.25">
      <c r="A98" s="189">
        <v>7</v>
      </c>
      <c r="B98" s="190" t="s">
        <v>56</v>
      </c>
      <c r="C98" s="163" t="s">
        <v>521</v>
      </c>
      <c r="D98" s="191" t="s">
        <v>437</v>
      </c>
      <c r="E98" s="132">
        <v>1</v>
      </c>
      <c r="F98" s="133"/>
      <c r="G98" s="134"/>
      <c r="H98" s="135">
        <f t="shared" si="19"/>
        <v>0</v>
      </c>
      <c r="I98" s="134"/>
      <c r="J98" s="134"/>
      <c r="K98" s="134">
        <f t="shared" si="18"/>
        <v>0</v>
      </c>
      <c r="L98" s="105">
        <f t="shared" si="13"/>
        <v>0</v>
      </c>
      <c r="M98" s="87">
        <f t="shared" si="14"/>
        <v>0</v>
      </c>
      <c r="N98" s="87">
        <f t="shared" si="15"/>
        <v>0</v>
      </c>
      <c r="O98" s="87">
        <f t="shared" si="16"/>
        <v>0</v>
      </c>
      <c r="P98" s="88">
        <f t="shared" si="17"/>
        <v>0</v>
      </c>
    </row>
    <row r="99" spans="1:16" ht="10.8" thickBot="1" x14ac:dyDescent="0.25">
      <c r="A99" s="282"/>
      <c r="B99" s="283"/>
      <c r="C99" s="283"/>
      <c r="D99" s="283"/>
      <c r="E99" s="283"/>
      <c r="F99" s="283"/>
      <c r="G99" s="283"/>
      <c r="H99" s="283"/>
      <c r="I99" s="283"/>
      <c r="J99" s="283"/>
      <c r="K99" s="284"/>
      <c r="L99" s="52">
        <f>SUM(L14:L98)</f>
        <v>0</v>
      </c>
      <c r="M99" s="53">
        <f>SUM(M14:M98)</f>
        <v>0</v>
      </c>
      <c r="N99" s="53">
        <f>SUM(N14:N98)</f>
        <v>0</v>
      </c>
      <c r="O99" s="53">
        <f>SUM(O14:O98)</f>
        <v>0</v>
      </c>
      <c r="P99" s="54">
        <f>SUM(P14:P98)</f>
        <v>0</v>
      </c>
    </row>
    <row r="100" spans="1:16" x14ac:dyDescent="0.2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</row>
    <row r="101" spans="1:16" x14ac:dyDescent="0.2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</row>
    <row r="102" spans="1:16" x14ac:dyDescent="0.2">
      <c r="A102" s="1" t="s">
        <v>18</v>
      </c>
      <c r="B102" s="14"/>
      <c r="C102" s="281">
        <f>'Kops a'!C35:H35</f>
        <v>0</v>
      </c>
      <c r="D102" s="281"/>
      <c r="E102" s="281"/>
      <c r="F102" s="281"/>
      <c r="G102" s="281"/>
      <c r="H102" s="281"/>
      <c r="I102" s="14"/>
      <c r="J102" s="14"/>
      <c r="K102" s="14"/>
      <c r="L102" s="14"/>
      <c r="M102" s="14"/>
      <c r="N102" s="14"/>
      <c r="O102" s="14"/>
      <c r="P102" s="14"/>
    </row>
    <row r="103" spans="1:16" x14ac:dyDescent="0.2">
      <c r="A103" s="14"/>
      <c r="B103" s="14"/>
      <c r="C103" s="216" t="s">
        <v>19</v>
      </c>
      <c r="D103" s="216"/>
      <c r="E103" s="216"/>
      <c r="F103" s="216"/>
      <c r="G103" s="216"/>
      <c r="H103" s="216"/>
      <c r="I103" s="14"/>
      <c r="J103" s="14"/>
      <c r="K103" s="14"/>
      <c r="L103" s="14"/>
      <c r="M103" s="14"/>
      <c r="N103" s="14"/>
      <c r="O103" s="14"/>
      <c r="P103" s="14"/>
    </row>
    <row r="104" spans="1:16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</row>
    <row r="105" spans="1:16" x14ac:dyDescent="0.2">
      <c r="A105" s="70" t="str">
        <f>'Kops a'!A38</f>
        <v>Tāme sastādīta</v>
      </c>
      <c r="B105" s="71"/>
      <c r="C105" s="71"/>
      <c r="D105" s="71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</row>
    <row r="106" spans="1:16" x14ac:dyDescent="0.2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</row>
    <row r="107" spans="1:16" x14ac:dyDescent="0.2">
      <c r="A107" s="1" t="s">
        <v>38</v>
      </c>
      <c r="B107" s="14"/>
      <c r="C107" s="281">
        <f>'Kops a'!C40:H40</f>
        <v>0</v>
      </c>
      <c r="D107" s="281"/>
      <c r="E107" s="281"/>
      <c r="F107" s="281"/>
      <c r="G107" s="281"/>
      <c r="H107" s="281"/>
      <c r="I107" s="14"/>
      <c r="J107" s="14"/>
      <c r="K107" s="14"/>
      <c r="L107" s="14"/>
      <c r="M107" s="14"/>
      <c r="N107" s="14"/>
      <c r="O107" s="14"/>
      <c r="P107" s="14"/>
    </row>
    <row r="108" spans="1:16" x14ac:dyDescent="0.2">
      <c r="A108" s="14"/>
      <c r="B108" s="14"/>
      <c r="C108" s="216" t="s">
        <v>19</v>
      </c>
      <c r="D108" s="216"/>
      <c r="E108" s="216"/>
      <c r="F108" s="216"/>
      <c r="G108" s="216"/>
      <c r="H108" s="216"/>
      <c r="I108" s="14"/>
      <c r="J108" s="14"/>
      <c r="K108" s="14"/>
      <c r="L108" s="14"/>
      <c r="M108" s="14"/>
      <c r="N108" s="14"/>
      <c r="O108" s="14"/>
      <c r="P108" s="14"/>
    </row>
    <row r="109" spans="1:16" x14ac:dyDescent="0.2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</row>
    <row r="110" spans="1:16" x14ac:dyDescent="0.2">
      <c r="A110" s="70" t="s">
        <v>84</v>
      </c>
      <c r="B110" s="71"/>
      <c r="C110" s="75">
        <f>'Kops a'!C43</f>
        <v>0</v>
      </c>
      <c r="D110" s="39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</row>
    <row r="111" spans="1:16" x14ac:dyDescent="0.2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</row>
  </sheetData>
  <mergeCells count="22">
    <mergeCell ref="C108:H108"/>
    <mergeCell ref="C4:I4"/>
    <mergeCell ref="F12:K12"/>
    <mergeCell ref="A9:F9"/>
    <mergeCell ref="J9:M9"/>
    <mergeCell ref="D8:L8"/>
    <mergeCell ref="A99:K99"/>
    <mergeCell ref="C102:H102"/>
    <mergeCell ref="C103:H103"/>
    <mergeCell ref="C107:H107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4:G98 I14:J98">
    <cfRule type="cellIs" dxfId="34" priority="26" operator="equal">
      <formula>0</formula>
    </cfRule>
  </conditionalFormatting>
  <conditionalFormatting sqref="N9:O9 H14:H98 K14:P98">
    <cfRule type="cellIs" dxfId="33" priority="25" operator="equal">
      <formula>0</formula>
    </cfRule>
  </conditionalFormatting>
  <conditionalFormatting sqref="A9:F9">
    <cfRule type="containsText" dxfId="32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31" priority="22" operator="equal">
      <formula>0</formula>
    </cfRule>
  </conditionalFormatting>
  <conditionalFormatting sqref="O10">
    <cfRule type="cellIs" dxfId="30" priority="21" operator="equal">
      <formula>"20__. gada __. _________"</formula>
    </cfRule>
  </conditionalFormatting>
  <conditionalFormatting sqref="A99:K99">
    <cfRule type="containsText" dxfId="29" priority="20" operator="containsText" text="Tiešās izmaksas kopā, t. sk. darba devēja sociālais nodoklis __.__% ">
      <formula>NOT(ISERROR(SEARCH("Tiešās izmaksas kopā, t. sk. darba devēja sociālais nodoklis __.__% ",A99)))</formula>
    </cfRule>
  </conditionalFormatting>
  <conditionalFormatting sqref="L99:P99">
    <cfRule type="cellIs" dxfId="28" priority="15" operator="equal">
      <formula>0</formula>
    </cfRule>
  </conditionalFormatting>
  <conditionalFormatting sqref="C4:I4">
    <cfRule type="cellIs" dxfId="27" priority="14" operator="equal">
      <formula>0</formula>
    </cfRule>
  </conditionalFormatting>
  <conditionalFormatting sqref="D5:L8">
    <cfRule type="cellIs" dxfId="26" priority="11" operator="equal">
      <formula>0</formula>
    </cfRule>
  </conditionalFormatting>
  <conditionalFormatting sqref="P10">
    <cfRule type="cellIs" dxfId="25" priority="7" operator="equal">
      <formula>"20__. gada __. _________"</formula>
    </cfRule>
  </conditionalFormatting>
  <conditionalFormatting sqref="C107:H107">
    <cfRule type="cellIs" dxfId="24" priority="4" operator="equal">
      <formula>0</formula>
    </cfRule>
  </conditionalFormatting>
  <conditionalFormatting sqref="C102:H102">
    <cfRule type="cellIs" dxfId="23" priority="3" operator="equal">
      <formula>0</formula>
    </cfRule>
  </conditionalFormatting>
  <conditionalFormatting sqref="C107:H107 C110 C102:H102">
    <cfRule type="cellIs" dxfId="22" priority="2" operator="equal">
      <formula>0</formula>
    </cfRule>
  </conditionalFormatting>
  <conditionalFormatting sqref="D1">
    <cfRule type="cellIs" dxfId="21" priority="1" operator="equal">
      <formula>0</formula>
    </cfRule>
  </conditionalFormatting>
  <pageMargins left="0.7" right="0.7" top="0.75" bottom="0.75" header="0.3" footer="0.3"/>
  <pageSetup paperSize="9" scale="90" orientation="landscape" r:id="rId1"/>
  <rowBreaks count="1" manualBreakCount="1">
    <brk id="90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FF7EA908-55EC-4C43-BFD3-676EB2F59EFD}">
            <xm:f>NOT(ISERROR(SEARCH("Tāme sastādīta ____. gada ___. ______________",A105)))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A105</xm:sqref>
        </x14:conditionalFormatting>
        <x14:conditionalFormatting xmlns:xm="http://schemas.microsoft.com/office/excel/2006/main">
          <x14:cfRule type="containsText" priority="5" operator="containsText" id="{7D30F4F9-54F3-4EAD-9065-3BE0F6D67384}">
            <xm:f>NOT(ISERROR(SEARCH("Sertifikāta Nr. _________________________________",A110)))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A110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/>
  <dimension ref="A1:P54"/>
  <sheetViews>
    <sheetView zoomScaleNormal="100" zoomScaleSheetLayoutView="100" workbookViewId="0">
      <selection activeCell="A42" sqref="A42:K42"/>
    </sheetView>
  </sheetViews>
  <sheetFormatPr defaultColWidth="9.109375" defaultRowHeight="10.199999999999999" x14ac:dyDescent="0.2"/>
  <cols>
    <col min="1" max="1" width="4.5546875" style="1" customWidth="1"/>
    <col min="2" max="2" width="9.44140625" style="1" bestFit="1" customWidth="1"/>
    <col min="3" max="3" width="38.44140625" style="1" customWidth="1"/>
    <col min="4" max="4" width="5.88671875" style="1" customWidth="1"/>
    <col min="5" max="5" width="8.6640625" style="1" customWidth="1"/>
    <col min="6" max="6" width="4.44140625" style="1" bestFit="1" customWidth="1"/>
    <col min="7" max="8" width="5.44140625" style="1" bestFit="1" customWidth="1"/>
    <col min="9" max="9" width="6.33203125" style="1" bestFit="1" customWidth="1"/>
    <col min="10" max="10" width="4.44140625" style="1" bestFit="1" customWidth="1"/>
    <col min="11" max="11" width="6.33203125" style="1" bestFit="1" customWidth="1"/>
    <col min="12" max="12" width="5.44140625" style="1" bestFit="1" customWidth="1"/>
    <col min="13" max="13" width="6.33203125" style="1" bestFit="1" customWidth="1"/>
    <col min="14" max="14" width="6.5546875" style="1" bestFit="1" customWidth="1"/>
    <col min="15" max="15" width="4.88671875" style="1" bestFit="1" customWidth="1"/>
    <col min="16" max="16" width="9" style="1" customWidth="1"/>
    <col min="17" max="17" width="9.109375" style="1"/>
    <col min="18" max="18" width="12.6640625" style="1" customWidth="1"/>
    <col min="19" max="16384" width="9.109375" style="1"/>
  </cols>
  <sheetData>
    <row r="1" spans="1:16" x14ac:dyDescent="0.2">
      <c r="A1" s="19"/>
      <c r="B1" s="19"/>
      <c r="C1" s="23" t="s">
        <v>39</v>
      </c>
      <c r="D1" s="40">
        <f>'Kops a'!A27</f>
        <v>0</v>
      </c>
      <c r="E1" s="19"/>
      <c r="F1" s="19"/>
      <c r="G1" s="19"/>
      <c r="H1" s="19"/>
      <c r="I1" s="19"/>
      <c r="J1" s="19"/>
      <c r="N1" s="22"/>
      <c r="O1" s="23"/>
      <c r="P1" s="24"/>
    </row>
    <row r="2" spans="1:16" x14ac:dyDescent="0.2">
      <c r="A2" s="25"/>
      <c r="B2" s="25"/>
      <c r="C2" s="264" t="s">
        <v>604</v>
      </c>
      <c r="D2" s="264"/>
      <c r="E2" s="264"/>
      <c r="F2" s="264"/>
      <c r="G2" s="264"/>
      <c r="H2" s="264"/>
      <c r="I2" s="264"/>
      <c r="J2" s="25"/>
    </row>
    <row r="3" spans="1:16" x14ac:dyDescent="0.2">
      <c r="A3" s="26"/>
      <c r="B3" s="26"/>
      <c r="C3" s="225" t="s">
        <v>23</v>
      </c>
      <c r="D3" s="225"/>
      <c r="E3" s="225"/>
      <c r="F3" s="225"/>
      <c r="G3" s="225"/>
      <c r="H3" s="225"/>
      <c r="I3" s="225"/>
      <c r="J3" s="26"/>
    </row>
    <row r="4" spans="1:16" x14ac:dyDescent="0.2">
      <c r="A4" s="26"/>
      <c r="B4" s="26"/>
      <c r="C4" s="265" t="s">
        <v>5</v>
      </c>
      <c r="D4" s="265"/>
      <c r="E4" s="265"/>
      <c r="F4" s="265"/>
      <c r="G4" s="265"/>
      <c r="H4" s="265"/>
      <c r="I4" s="265"/>
      <c r="J4" s="26"/>
    </row>
    <row r="5" spans="1:16" x14ac:dyDescent="0.2">
      <c r="A5" s="19"/>
      <c r="B5" s="19"/>
      <c r="C5" s="23" t="s">
        <v>6</v>
      </c>
      <c r="D5" s="278" t="str">
        <f>'Kops a'!D6</f>
        <v>DAUDZDZĪVOKĻU DZĪVOJAMĀ ĒKA</v>
      </c>
      <c r="E5" s="278"/>
      <c r="F5" s="278"/>
      <c r="G5" s="278"/>
      <c r="H5" s="278"/>
      <c r="I5" s="278"/>
      <c r="J5" s="278"/>
      <c r="K5" s="278"/>
      <c r="L5" s="278"/>
      <c r="M5" s="14"/>
      <c r="N5" s="14"/>
      <c r="O5" s="14"/>
      <c r="P5" s="14"/>
    </row>
    <row r="6" spans="1:16" x14ac:dyDescent="0.2">
      <c r="A6" s="19"/>
      <c r="B6" s="19"/>
      <c r="C6" s="23" t="s">
        <v>8</v>
      </c>
      <c r="D6" s="278" t="str">
        <f>'Kops a'!D7</f>
        <v>ENERGOEFEKTIVITĀTES PAAUGSTINĀŠANA DAUDZDZĪVOKĻU DZĪVOJAMAI ĒKAI</v>
      </c>
      <c r="E6" s="278"/>
      <c r="F6" s="278"/>
      <c r="G6" s="278"/>
      <c r="H6" s="278"/>
      <c r="I6" s="278"/>
      <c r="J6" s="278"/>
      <c r="K6" s="278"/>
      <c r="L6" s="278"/>
      <c r="M6" s="14"/>
      <c r="N6" s="14"/>
      <c r="O6" s="14"/>
      <c r="P6" s="14"/>
    </row>
    <row r="7" spans="1:16" x14ac:dyDescent="0.2">
      <c r="A7" s="19"/>
      <c r="B7" s="19"/>
      <c r="C7" s="23" t="s">
        <v>10</v>
      </c>
      <c r="D7" s="278" t="str">
        <f>'Kops a'!D8</f>
        <v>Mātera iela 23/25, Jelgava, ēkas kad. apz. 0900 001 0126 001</v>
      </c>
      <c r="E7" s="278"/>
      <c r="F7" s="278"/>
      <c r="G7" s="278"/>
      <c r="H7" s="278"/>
      <c r="I7" s="278"/>
      <c r="J7" s="278"/>
      <c r="K7" s="278"/>
      <c r="L7" s="278"/>
      <c r="M7" s="14"/>
      <c r="N7" s="14"/>
      <c r="O7" s="14"/>
      <c r="P7" s="14"/>
    </row>
    <row r="8" spans="1:16" x14ac:dyDescent="0.2">
      <c r="A8" s="19"/>
      <c r="B8" s="19"/>
      <c r="C8" s="210" t="s">
        <v>26</v>
      </c>
      <c r="D8" s="278">
        <f>'Kops a'!D9</f>
        <v>0</v>
      </c>
      <c r="E8" s="278"/>
      <c r="F8" s="278"/>
      <c r="G8" s="278"/>
      <c r="H8" s="278"/>
      <c r="I8" s="278"/>
      <c r="J8" s="278"/>
      <c r="K8" s="278"/>
      <c r="L8" s="278"/>
      <c r="M8" s="14"/>
      <c r="N8" s="14"/>
      <c r="O8" s="14"/>
      <c r="P8" s="14"/>
    </row>
    <row r="9" spans="1:16" ht="11.25" customHeight="1" x14ac:dyDescent="0.2">
      <c r="A9" s="266" t="s">
        <v>605</v>
      </c>
      <c r="B9" s="266"/>
      <c r="C9" s="266"/>
      <c r="D9" s="266"/>
      <c r="E9" s="266"/>
      <c r="F9" s="266"/>
      <c r="G9" s="27"/>
      <c r="H9" s="27"/>
      <c r="I9" s="27"/>
      <c r="J9" s="270" t="s">
        <v>42</v>
      </c>
      <c r="K9" s="270"/>
      <c r="L9" s="270"/>
      <c r="M9" s="270"/>
      <c r="N9" s="277">
        <f>P42</f>
        <v>0</v>
      </c>
      <c r="O9" s="277"/>
      <c r="P9" s="27"/>
    </row>
    <row r="10" spans="1:16" x14ac:dyDescent="0.2">
      <c r="A10" s="28"/>
      <c r="B10" s="29"/>
      <c r="C10" s="210"/>
      <c r="D10" s="19"/>
      <c r="E10" s="19"/>
      <c r="F10" s="19"/>
      <c r="G10" s="19"/>
      <c r="H10" s="19"/>
      <c r="I10" s="19"/>
      <c r="J10" s="19"/>
      <c r="K10" s="19"/>
      <c r="L10" s="25"/>
      <c r="M10" s="25"/>
      <c r="O10" s="73"/>
      <c r="P10" s="72" t="str">
        <f>A48</f>
        <v>Tāme sastādīta</v>
      </c>
    </row>
    <row r="11" spans="1:16" ht="10.8" thickBot="1" x14ac:dyDescent="0.25">
      <c r="A11" s="28"/>
      <c r="B11" s="29"/>
      <c r="C11" s="210"/>
      <c r="D11" s="19"/>
      <c r="E11" s="19"/>
      <c r="F11" s="19"/>
      <c r="G11" s="19"/>
      <c r="H11" s="19"/>
      <c r="I11" s="19"/>
      <c r="J11" s="19"/>
      <c r="K11" s="19"/>
      <c r="L11" s="30"/>
      <c r="M11" s="30"/>
      <c r="N11" s="31"/>
      <c r="O11" s="22"/>
      <c r="P11" s="19"/>
    </row>
    <row r="12" spans="1:16" x14ac:dyDescent="0.2">
      <c r="A12" s="236" t="s">
        <v>29</v>
      </c>
      <c r="B12" s="272" t="s">
        <v>43</v>
      </c>
      <c r="C12" s="268" t="s">
        <v>44</v>
      </c>
      <c r="D12" s="275" t="s">
        <v>45</v>
      </c>
      <c r="E12" s="279" t="s">
        <v>46</v>
      </c>
      <c r="F12" s="267" t="s">
        <v>47</v>
      </c>
      <c r="G12" s="268"/>
      <c r="H12" s="268"/>
      <c r="I12" s="268"/>
      <c r="J12" s="268"/>
      <c r="K12" s="269"/>
      <c r="L12" s="267" t="s">
        <v>48</v>
      </c>
      <c r="M12" s="268"/>
      <c r="N12" s="268"/>
      <c r="O12" s="268"/>
      <c r="P12" s="269"/>
    </row>
    <row r="13" spans="1:16" ht="126.75" customHeight="1" thickBot="1" x14ac:dyDescent="0.25">
      <c r="A13" s="271"/>
      <c r="B13" s="273"/>
      <c r="C13" s="274"/>
      <c r="D13" s="276"/>
      <c r="E13" s="280"/>
      <c r="F13" s="214" t="s">
        <v>49</v>
      </c>
      <c r="G13" s="215" t="s">
        <v>50</v>
      </c>
      <c r="H13" s="215" t="s">
        <v>51</v>
      </c>
      <c r="I13" s="215" t="s">
        <v>52</v>
      </c>
      <c r="J13" s="215" t="s">
        <v>53</v>
      </c>
      <c r="K13" s="51" t="s">
        <v>54</v>
      </c>
      <c r="L13" s="214" t="s">
        <v>49</v>
      </c>
      <c r="M13" s="215" t="s">
        <v>51</v>
      </c>
      <c r="N13" s="215" t="s">
        <v>52</v>
      </c>
      <c r="O13" s="215" t="s">
        <v>53</v>
      </c>
      <c r="P13" s="51" t="s">
        <v>54</v>
      </c>
    </row>
    <row r="14" spans="1:16" ht="13.2" x14ac:dyDescent="0.2">
      <c r="A14" s="121"/>
      <c r="B14" s="122"/>
      <c r="C14" s="123" t="s">
        <v>606</v>
      </c>
      <c r="D14" s="124"/>
      <c r="E14" s="125"/>
      <c r="F14" s="126"/>
      <c r="G14" s="127"/>
      <c r="H14" s="127"/>
      <c r="I14" s="127"/>
      <c r="J14" s="127"/>
      <c r="K14" s="150"/>
      <c r="L14" s="89"/>
      <c r="M14" s="89"/>
      <c r="N14" s="89"/>
      <c r="O14" s="89"/>
      <c r="P14" s="90"/>
    </row>
    <row r="15" spans="1:16" ht="13.2" x14ac:dyDescent="0.2">
      <c r="A15" s="160">
        <v>1</v>
      </c>
      <c r="B15" s="157" t="s">
        <v>56</v>
      </c>
      <c r="C15" s="161" t="s">
        <v>607</v>
      </c>
      <c r="D15" s="157" t="s">
        <v>62</v>
      </c>
      <c r="E15" s="162">
        <v>1</v>
      </c>
      <c r="F15" s="133"/>
      <c r="G15" s="134"/>
      <c r="H15" s="135">
        <f>ROUND(F15*G15,2)</f>
        <v>0</v>
      </c>
      <c r="I15" s="134"/>
      <c r="J15" s="134"/>
      <c r="K15" s="134">
        <f t="shared" ref="K15:K27" si="0">ROUND(H15+J15+I15,2)</f>
        <v>0</v>
      </c>
      <c r="L15" s="87">
        <f t="shared" ref="L15" si="1">ROUND(E15*F15,2)</f>
        <v>0</v>
      </c>
      <c r="M15" s="87">
        <f t="shared" ref="M15" si="2">ROUND(E15*H15,2)</f>
        <v>0</v>
      </c>
      <c r="N15" s="87">
        <f t="shared" ref="N15" si="3">ROUND(E15*I15,2)</f>
        <v>0</v>
      </c>
      <c r="O15" s="87">
        <f t="shared" ref="O15" si="4">ROUND(E15*J15,2)</f>
        <v>0</v>
      </c>
      <c r="P15" s="88">
        <f t="shared" ref="P15" si="5">ROUND(O15+N15+M15,2)</f>
        <v>0</v>
      </c>
    </row>
    <row r="16" spans="1:16" ht="13.2" x14ac:dyDescent="0.2">
      <c r="A16" s="160">
        <v>2</v>
      </c>
      <c r="B16" s="157" t="s">
        <v>56</v>
      </c>
      <c r="C16" s="161" t="s">
        <v>608</v>
      </c>
      <c r="D16" s="157" t="s">
        <v>60</v>
      </c>
      <c r="E16" s="162">
        <v>1</v>
      </c>
      <c r="F16" s="133"/>
      <c r="G16" s="134"/>
      <c r="H16" s="135">
        <f t="shared" ref="H16:H20" si="6">ROUND(F16*G16,2)</f>
        <v>0</v>
      </c>
      <c r="I16" s="134"/>
      <c r="J16" s="134"/>
      <c r="K16" s="134">
        <f t="shared" si="0"/>
        <v>0</v>
      </c>
      <c r="L16" s="87">
        <f t="shared" ref="L16:L41" si="7">ROUND(E16*F16,2)</f>
        <v>0</v>
      </c>
      <c r="M16" s="87">
        <f t="shared" ref="M16:M41" si="8">ROUND(E16*H16,2)</f>
        <v>0</v>
      </c>
      <c r="N16" s="87">
        <f t="shared" ref="N16:N41" si="9">ROUND(E16*I16,2)</f>
        <v>0</v>
      </c>
      <c r="O16" s="87">
        <f t="shared" ref="O16:O41" si="10">ROUND(E16*J16,2)</f>
        <v>0</v>
      </c>
      <c r="P16" s="88">
        <f t="shared" ref="P16:P41" si="11">ROUND(O16+N16+M16,2)</f>
        <v>0</v>
      </c>
    </row>
    <row r="17" spans="1:16" ht="26.4" x14ac:dyDescent="0.2">
      <c r="A17" s="160">
        <v>3</v>
      </c>
      <c r="B17" s="157" t="s">
        <v>56</v>
      </c>
      <c r="C17" s="161" t="s">
        <v>609</v>
      </c>
      <c r="D17" s="157" t="s">
        <v>62</v>
      </c>
      <c r="E17" s="162">
        <v>1</v>
      </c>
      <c r="F17" s="133"/>
      <c r="G17" s="134"/>
      <c r="H17" s="135">
        <f t="shared" si="6"/>
        <v>0</v>
      </c>
      <c r="I17" s="134"/>
      <c r="J17" s="134"/>
      <c r="K17" s="134">
        <f t="shared" si="0"/>
        <v>0</v>
      </c>
      <c r="L17" s="87">
        <f t="shared" si="7"/>
        <v>0</v>
      </c>
      <c r="M17" s="87">
        <f t="shared" si="8"/>
        <v>0</v>
      </c>
      <c r="N17" s="87">
        <f t="shared" si="9"/>
        <v>0</v>
      </c>
      <c r="O17" s="87">
        <f t="shared" si="10"/>
        <v>0</v>
      </c>
      <c r="P17" s="88">
        <f t="shared" si="11"/>
        <v>0</v>
      </c>
    </row>
    <row r="18" spans="1:16" ht="13.2" x14ac:dyDescent="0.2">
      <c r="A18" s="160">
        <v>4</v>
      </c>
      <c r="B18" s="157" t="s">
        <v>56</v>
      </c>
      <c r="C18" s="161" t="s">
        <v>610</v>
      </c>
      <c r="D18" s="157" t="s">
        <v>58</v>
      </c>
      <c r="E18" s="162">
        <v>38</v>
      </c>
      <c r="F18" s="133"/>
      <c r="G18" s="134"/>
      <c r="H18" s="135">
        <f t="shared" si="6"/>
        <v>0</v>
      </c>
      <c r="I18" s="134"/>
      <c r="J18" s="134"/>
      <c r="K18" s="134">
        <f t="shared" si="0"/>
        <v>0</v>
      </c>
      <c r="L18" s="87">
        <f t="shared" si="7"/>
        <v>0</v>
      </c>
      <c r="M18" s="87">
        <f t="shared" si="8"/>
        <v>0</v>
      </c>
      <c r="N18" s="87">
        <f t="shared" si="9"/>
        <v>0</v>
      </c>
      <c r="O18" s="87">
        <f t="shared" si="10"/>
        <v>0</v>
      </c>
      <c r="P18" s="88">
        <f t="shared" si="11"/>
        <v>0</v>
      </c>
    </row>
    <row r="19" spans="1:16" ht="13.2" x14ac:dyDescent="0.2">
      <c r="A19" s="160">
        <v>5</v>
      </c>
      <c r="B19" s="157" t="s">
        <v>56</v>
      </c>
      <c r="C19" s="161" t="s">
        <v>611</v>
      </c>
      <c r="D19" s="157" t="s">
        <v>58</v>
      </c>
      <c r="E19" s="162">
        <v>50</v>
      </c>
      <c r="F19" s="133"/>
      <c r="G19" s="134"/>
      <c r="H19" s="135">
        <f t="shared" si="6"/>
        <v>0</v>
      </c>
      <c r="I19" s="134"/>
      <c r="J19" s="134"/>
      <c r="K19" s="134"/>
      <c r="L19" s="87">
        <f t="shared" si="7"/>
        <v>0</v>
      </c>
      <c r="M19" s="87">
        <f t="shared" si="8"/>
        <v>0</v>
      </c>
      <c r="N19" s="87">
        <f t="shared" si="9"/>
        <v>0</v>
      </c>
      <c r="O19" s="87">
        <f t="shared" si="10"/>
        <v>0</v>
      </c>
      <c r="P19" s="88">
        <f t="shared" si="11"/>
        <v>0</v>
      </c>
    </row>
    <row r="20" spans="1:16" ht="13.2" x14ac:dyDescent="0.2">
      <c r="A20" s="160">
        <v>6</v>
      </c>
      <c r="B20" s="157" t="s">
        <v>56</v>
      </c>
      <c r="C20" s="161" t="s">
        <v>612</v>
      </c>
      <c r="D20" s="157" t="s">
        <v>58</v>
      </c>
      <c r="E20" s="162">
        <v>12</v>
      </c>
      <c r="F20" s="133"/>
      <c r="G20" s="134"/>
      <c r="H20" s="135">
        <f t="shared" si="6"/>
        <v>0</v>
      </c>
      <c r="I20" s="134"/>
      <c r="J20" s="134"/>
      <c r="K20" s="134">
        <f t="shared" si="0"/>
        <v>0</v>
      </c>
      <c r="L20" s="87">
        <f t="shared" si="7"/>
        <v>0</v>
      </c>
      <c r="M20" s="87">
        <f t="shared" si="8"/>
        <v>0</v>
      </c>
      <c r="N20" s="87">
        <f t="shared" si="9"/>
        <v>0</v>
      </c>
      <c r="O20" s="87">
        <f t="shared" si="10"/>
        <v>0</v>
      </c>
      <c r="P20" s="88">
        <f t="shared" si="11"/>
        <v>0</v>
      </c>
    </row>
    <row r="21" spans="1:16" ht="13.2" x14ac:dyDescent="0.2">
      <c r="A21" s="160">
        <v>7</v>
      </c>
      <c r="B21" s="157" t="s">
        <v>56</v>
      </c>
      <c r="C21" s="161" t="s">
        <v>613</v>
      </c>
      <c r="D21" s="157" t="s">
        <v>62</v>
      </c>
      <c r="E21" s="162">
        <v>6</v>
      </c>
      <c r="F21" s="133"/>
      <c r="G21" s="134"/>
      <c r="H21" s="135">
        <f>ROUND(F21*G21,2)</f>
        <v>0</v>
      </c>
      <c r="I21" s="134"/>
      <c r="J21" s="134"/>
      <c r="K21" s="134">
        <f t="shared" si="0"/>
        <v>0</v>
      </c>
      <c r="L21" s="87">
        <f t="shared" si="7"/>
        <v>0</v>
      </c>
      <c r="M21" s="87">
        <f t="shared" si="8"/>
        <v>0</v>
      </c>
      <c r="N21" s="87">
        <f t="shared" si="9"/>
        <v>0</v>
      </c>
      <c r="O21" s="87">
        <f t="shared" si="10"/>
        <v>0</v>
      </c>
      <c r="P21" s="88">
        <f t="shared" si="11"/>
        <v>0</v>
      </c>
    </row>
    <row r="22" spans="1:16" ht="13.2" x14ac:dyDescent="0.2">
      <c r="A22" s="160">
        <v>8</v>
      </c>
      <c r="B22" s="157" t="s">
        <v>56</v>
      </c>
      <c r="C22" s="161" t="s">
        <v>614</v>
      </c>
      <c r="D22" s="157" t="s">
        <v>62</v>
      </c>
      <c r="E22" s="162">
        <v>101</v>
      </c>
      <c r="F22" s="133"/>
      <c r="G22" s="134"/>
      <c r="H22" s="135">
        <f t="shared" ref="H22:H23" si="12">ROUND(F22*G22,2)</f>
        <v>0</v>
      </c>
      <c r="I22" s="134"/>
      <c r="J22" s="134"/>
      <c r="K22" s="134">
        <f t="shared" si="0"/>
        <v>0</v>
      </c>
      <c r="L22" s="87">
        <f t="shared" si="7"/>
        <v>0</v>
      </c>
      <c r="M22" s="87">
        <f t="shared" si="8"/>
        <v>0</v>
      </c>
      <c r="N22" s="87">
        <f t="shared" si="9"/>
        <v>0</v>
      </c>
      <c r="O22" s="87">
        <f t="shared" si="10"/>
        <v>0</v>
      </c>
      <c r="P22" s="88">
        <f t="shared" si="11"/>
        <v>0</v>
      </c>
    </row>
    <row r="23" spans="1:16" ht="26.4" x14ac:dyDescent="0.2">
      <c r="A23" s="160">
        <v>9</v>
      </c>
      <c r="B23" s="157" t="s">
        <v>56</v>
      </c>
      <c r="C23" s="161" t="s">
        <v>615</v>
      </c>
      <c r="D23" s="157" t="s">
        <v>62</v>
      </c>
      <c r="E23" s="162">
        <v>1</v>
      </c>
      <c r="F23" s="133"/>
      <c r="G23" s="134"/>
      <c r="H23" s="135">
        <f t="shared" si="12"/>
        <v>0</v>
      </c>
      <c r="I23" s="134"/>
      <c r="J23" s="134"/>
      <c r="K23" s="134">
        <f t="shared" si="0"/>
        <v>0</v>
      </c>
      <c r="L23" s="87">
        <f t="shared" si="7"/>
        <v>0</v>
      </c>
      <c r="M23" s="87">
        <f t="shared" si="8"/>
        <v>0</v>
      </c>
      <c r="N23" s="87">
        <f t="shared" si="9"/>
        <v>0</v>
      </c>
      <c r="O23" s="87">
        <f t="shared" si="10"/>
        <v>0</v>
      </c>
      <c r="P23" s="88">
        <f t="shared" si="11"/>
        <v>0</v>
      </c>
    </row>
    <row r="24" spans="1:16" ht="13.2" x14ac:dyDescent="0.2">
      <c r="A24" s="160">
        <v>10</v>
      </c>
      <c r="B24" s="157" t="s">
        <v>56</v>
      </c>
      <c r="C24" s="161" t="s">
        <v>616</v>
      </c>
      <c r="D24" s="157" t="s">
        <v>62</v>
      </c>
      <c r="E24" s="162">
        <v>2</v>
      </c>
      <c r="F24" s="133"/>
      <c r="G24" s="134"/>
      <c r="H24" s="135">
        <f>ROUND(F24*G24,2)</f>
        <v>0</v>
      </c>
      <c r="I24" s="134"/>
      <c r="J24" s="134"/>
      <c r="K24" s="134">
        <f t="shared" si="0"/>
        <v>0</v>
      </c>
      <c r="L24" s="87">
        <f t="shared" si="7"/>
        <v>0</v>
      </c>
      <c r="M24" s="87">
        <f t="shared" si="8"/>
        <v>0</v>
      </c>
      <c r="N24" s="87">
        <f t="shared" si="9"/>
        <v>0</v>
      </c>
      <c r="O24" s="87">
        <f t="shared" si="10"/>
        <v>0</v>
      </c>
      <c r="P24" s="88">
        <f t="shared" si="11"/>
        <v>0</v>
      </c>
    </row>
    <row r="25" spans="1:16" ht="13.2" x14ac:dyDescent="0.2">
      <c r="A25" s="160">
        <v>11</v>
      </c>
      <c r="B25" s="157" t="s">
        <v>56</v>
      </c>
      <c r="C25" s="161" t="s">
        <v>617</v>
      </c>
      <c r="D25" s="157" t="s">
        <v>62</v>
      </c>
      <c r="E25" s="162">
        <v>2</v>
      </c>
      <c r="F25" s="133"/>
      <c r="G25" s="134"/>
      <c r="H25" s="135">
        <f t="shared" ref="H25" si="13">ROUND(F25*G25,2)</f>
        <v>0</v>
      </c>
      <c r="I25" s="134"/>
      <c r="J25" s="134"/>
      <c r="K25" s="134">
        <f t="shared" si="0"/>
        <v>0</v>
      </c>
      <c r="L25" s="87">
        <f t="shared" si="7"/>
        <v>0</v>
      </c>
      <c r="M25" s="87">
        <f t="shared" si="8"/>
        <v>0</v>
      </c>
      <c r="N25" s="87">
        <f t="shared" si="9"/>
        <v>0</v>
      </c>
      <c r="O25" s="87">
        <f t="shared" si="10"/>
        <v>0</v>
      </c>
      <c r="P25" s="88">
        <f t="shared" si="11"/>
        <v>0</v>
      </c>
    </row>
    <row r="26" spans="1:16" ht="13.2" x14ac:dyDescent="0.2">
      <c r="A26" s="160">
        <v>12</v>
      </c>
      <c r="B26" s="157" t="s">
        <v>56</v>
      </c>
      <c r="C26" s="161" t="s">
        <v>618</v>
      </c>
      <c r="D26" s="157" t="s">
        <v>62</v>
      </c>
      <c r="E26" s="162">
        <v>1</v>
      </c>
      <c r="F26" s="133"/>
      <c r="G26" s="134"/>
      <c r="H26" s="135">
        <f>ROUND(F26*G26,2)</f>
        <v>0</v>
      </c>
      <c r="I26" s="134"/>
      <c r="J26" s="134"/>
      <c r="K26" s="134">
        <f t="shared" si="0"/>
        <v>0</v>
      </c>
      <c r="L26" s="87">
        <f t="shared" si="7"/>
        <v>0</v>
      </c>
      <c r="M26" s="87">
        <f t="shared" si="8"/>
        <v>0</v>
      </c>
      <c r="N26" s="87">
        <f t="shared" si="9"/>
        <v>0</v>
      </c>
      <c r="O26" s="87">
        <f t="shared" si="10"/>
        <v>0</v>
      </c>
      <c r="P26" s="88">
        <f t="shared" si="11"/>
        <v>0</v>
      </c>
    </row>
    <row r="27" spans="1:16" ht="13.2" x14ac:dyDescent="0.2">
      <c r="A27" s="160">
        <v>13</v>
      </c>
      <c r="B27" s="157" t="s">
        <v>56</v>
      </c>
      <c r="C27" s="161" t="s">
        <v>619</v>
      </c>
      <c r="D27" s="157" t="s">
        <v>60</v>
      </c>
      <c r="E27" s="162">
        <v>1</v>
      </c>
      <c r="F27" s="133"/>
      <c r="G27" s="134"/>
      <c r="H27" s="135">
        <f t="shared" ref="H27" si="14">ROUND(F27*G27,2)</f>
        <v>0</v>
      </c>
      <c r="I27" s="134"/>
      <c r="J27" s="134"/>
      <c r="K27" s="134">
        <f t="shared" si="0"/>
        <v>0</v>
      </c>
      <c r="L27" s="87">
        <f t="shared" si="7"/>
        <v>0</v>
      </c>
      <c r="M27" s="87">
        <f t="shared" si="8"/>
        <v>0</v>
      </c>
      <c r="N27" s="87">
        <f t="shared" si="9"/>
        <v>0</v>
      </c>
      <c r="O27" s="87">
        <f t="shared" si="10"/>
        <v>0</v>
      </c>
      <c r="P27" s="88">
        <f t="shared" si="11"/>
        <v>0</v>
      </c>
    </row>
    <row r="28" spans="1:16" ht="13.2" x14ac:dyDescent="0.2">
      <c r="A28" s="165"/>
      <c r="B28" s="166"/>
      <c r="C28" s="167" t="s">
        <v>620</v>
      </c>
      <c r="D28" s="168"/>
      <c r="E28" s="169"/>
      <c r="F28" s="170"/>
      <c r="G28" s="171"/>
      <c r="H28" s="171"/>
      <c r="I28" s="171"/>
      <c r="J28" s="171"/>
      <c r="K28" s="187"/>
      <c r="L28" s="87"/>
      <c r="M28" s="87"/>
      <c r="N28" s="87"/>
      <c r="O28" s="87"/>
      <c r="P28" s="88"/>
    </row>
    <row r="29" spans="1:16" ht="26.4" x14ac:dyDescent="0.2">
      <c r="A29" s="160">
        <v>1</v>
      </c>
      <c r="B29" s="157"/>
      <c r="C29" s="161" t="s">
        <v>621</v>
      </c>
      <c r="D29" s="157" t="s">
        <v>62</v>
      </c>
      <c r="E29" s="162">
        <v>1</v>
      </c>
      <c r="F29" s="133"/>
      <c r="G29" s="134"/>
      <c r="H29" s="135"/>
      <c r="I29" s="134"/>
      <c r="J29" s="134"/>
      <c r="K29" s="134">
        <f t="shared" ref="K29:K32" si="15">ROUND(H29+J29+I29,2)</f>
        <v>0</v>
      </c>
      <c r="L29" s="87">
        <f t="shared" si="7"/>
        <v>0</v>
      </c>
      <c r="M29" s="87">
        <f t="shared" si="8"/>
        <v>0</v>
      </c>
      <c r="N29" s="87">
        <f t="shared" si="9"/>
        <v>0</v>
      </c>
      <c r="O29" s="87">
        <f t="shared" si="10"/>
        <v>0</v>
      </c>
      <c r="P29" s="88">
        <f t="shared" si="11"/>
        <v>0</v>
      </c>
    </row>
    <row r="30" spans="1:16" ht="13.2" x14ac:dyDescent="0.2">
      <c r="A30" s="160">
        <v>2</v>
      </c>
      <c r="B30" s="157"/>
      <c r="C30" s="161" t="s">
        <v>622</v>
      </c>
      <c r="D30" s="157" t="s">
        <v>60</v>
      </c>
      <c r="E30" s="162">
        <v>1</v>
      </c>
      <c r="F30" s="133"/>
      <c r="G30" s="134"/>
      <c r="H30" s="135"/>
      <c r="I30" s="134"/>
      <c r="J30" s="134"/>
      <c r="K30" s="134">
        <f t="shared" si="15"/>
        <v>0</v>
      </c>
      <c r="L30" s="87">
        <f t="shared" si="7"/>
        <v>0</v>
      </c>
      <c r="M30" s="87">
        <f t="shared" si="8"/>
        <v>0</v>
      </c>
      <c r="N30" s="87">
        <f t="shared" si="9"/>
        <v>0</v>
      </c>
      <c r="O30" s="87">
        <f t="shared" si="10"/>
        <v>0</v>
      </c>
      <c r="P30" s="88">
        <f t="shared" si="11"/>
        <v>0</v>
      </c>
    </row>
    <row r="31" spans="1:16" ht="26.4" x14ac:dyDescent="0.2">
      <c r="A31" s="160">
        <v>3</v>
      </c>
      <c r="B31" s="157"/>
      <c r="C31" s="161" t="s">
        <v>623</v>
      </c>
      <c r="D31" s="157" t="s">
        <v>62</v>
      </c>
      <c r="E31" s="162">
        <v>1</v>
      </c>
      <c r="F31" s="133"/>
      <c r="G31" s="134"/>
      <c r="H31" s="135"/>
      <c r="I31" s="134"/>
      <c r="J31" s="134"/>
      <c r="K31" s="134">
        <f t="shared" si="15"/>
        <v>0</v>
      </c>
      <c r="L31" s="87">
        <f t="shared" si="7"/>
        <v>0</v>
      </c>
      <c r="M31" s="87">
        <f t="shared" si="8"/>
        <v>0</v>
      </c>
      <c r="N31" s="87">
        <f t="shared" si="9"/>
        <v>0</v>
      </c>
      <c r="O31" s="87">
        <f t="shared" si="10"/>
        <v>0</v>
      </c>
      <c r="P31" s="88">
        <f t="shared" si="11"/>
        <v>0</v>
      </c>
    </row>
    <row r="32" spans="1:16" ht="13.2" x14ac:dyDescent="0.2">
      <c r="A32" s="160">
        <v>4</v>
      </c>
      <c r="B32" s="157"/>
      <c r="C32" s="161" t="s">
        <v>624</v>
      </c>
      <c r="D32" s="157" t="s">
        <v>58</v>
      </c>
      <c r="E32" s="162">
        <v>38</v>
      </c>
      <c r="F32" s="133"/>
      <c r="G32" s="134"/>
      <c r="H32" s="135"/>
      <c r="I32" s="134"/>
      <c r="J32" s="134"/>
      <c r="K32" s="134">
        <f t="shared" si="15"/>
        <v>0</v>
      </c>
      <c r="L32" s="87">
        <f t="shared" si="7"/>
        <v>0</v>
      </c>
      <c r="M32" s="87">
        <f t="shared" si="8"/>
        <v>0</v>
      </c>
      <c r="N32" s="87">
        <f t="shared" si="9"/>
        <v>0</v>
      </c>
      <c r="O32" s="87">
        <f t="shared" si="10"/>
        <v>0</v>
      </c>
      <c r="P32" s="88">
        <f t="shared" si="11"/>
        <v>0</v>
      </c>
    </row>
    <row r="33" spans="1:16" ht="39.6" x14ac:dyDescent="0.2">
      <c r="A33" s="160">
        <v>5</v>
      </c>
      <c r="B33" s="157"/>
      <c r="C33" s="161" t="s">
        <v>625</v>
      </c>
      <c r="D33" s="157" t="s">
        <v>58</v>
      </c>
      <c r="E33" s="162">
        <v>50</v>
      </c>
      <c r="F33" s="133"/>
      <c r="G33" s="134"/>
      <c r="H33" s="135"/>
      <c r="I33" s="134"/>
      <c r="J33" s="134"/>
      <c r="K33" s="134"/>
      <c r="L33" s="87">
        <f t="shared" si="7"/>
        <v>0</v>
      </c>
      <c r="M33" s="87">
        <f t="shared" si="8"/>
        <v>0</v>
      </c>
      <c r="N33" s="87">
        <f t="shared" si="9"/>
        <v>0</v>
      </c>
      <c r="O33" s="87">
        <f t="shared" si="10"/>
        <v>0</v>
      </c>
      <c r="P33" s="88">
        <f t="shared" si="11"/>
        <v>0</v>
      </c>
    </row>
    <row r="34" spans="1:16" ht="13.2" x14ac:dyDescent="0.2">
      <c r="A34" s="160">
        <v>6</v>
      </c>
      <c r="B34" s="157"/>
      <c r="C34" s="161" t="s">
        <v>626</v>
      </c>
      <c r="D34" s="157" t="s">
        <v>58</v>
      </c>
      <c r="E34" s="162">
        <v>12</v>
      </c>
      <c r="F34" s="133"/>
      <c r="G34" s="134"/>
      <c r="H34" s="135"/>
      <c r="I34" s="134"/>
      <c r="J34" s="134"/>
      <c r="K34" s="134"/>
      <c r="L34" s="87">
        <f t="shared" si="7"/>
        <v>0</v>
      </c>
      <c r="M34" s="87">
        <f t="shared" si="8"/>
        <v>0</v>
      </c>
      <c r="N34" s="87">
        <f t="shared" si="9"/>
        <v>0</v>
      </c>
      <c r="O34" s="87">
        <f t="shared" si="10"/>
        <v>0</v>
      </c>
      <c r="P34" s="88">
        <f t="shared" si="11"/>
        <v>0</v>
      </c>
    </row>
    <row r="35" spans="1:16" ht="13.2" x14ac:dyDescent="0.2">
      <c r="A35" s="160">
        <v>7</v>
      </c>
      <c r="B35" s="157"/>
      <c r="C35" s="161" t="s">
        <v>627</v>
      </c>
      <c r="D35" s="157" t="s">
        <v>62</v>
      </c>
      <c r="E35" s="162">
        <v>6</v>
      </c>
      <c r="F35" s="133"/>
      <c r="G35" s="134"/>
      <c r="H35" s="135"/>
      <c r="I35" s="134"/>
      <c r="J35" s="134"/>
      <c r="K35" s="134">
        <f t="shared" ref="K35:K41" si="16">ROUND(H35+J35+I35,2)</f>
        <v>0</v>
      </c>
      <c r="L35" s="87">
        <f t="shared" si="7"/>
        <v>0</v>
      </c>
      <c r="M35" s="87">
        <f t="shared" si="8"/>
        <v>0</v>
      </c>
      <c r="N35" s="87">
        <f t="shared" si="9"/>
        <v>0</v>
      </c>
      <c r="O35" s="87">
        <f t="shared" si="10"/>
        <v>0</v>
      </c>
      <c r="P35" s="88">
        <f t="shared" si="11"/>
        <v>0</v>
      </c>
    </row>
    <row r="36" spans="1:16" ht="13.2" x14ac:dyDescent="0.2">
      <c r="A36" s="160">
        <v>8</v>
      </c>
      <c r="B36" s="157"/>
      <c r="C36" s="161" t="s">
        <v>628</v>
      </c>
      <c r="D36" s="157" t="s">
        <v>62</v>
      </c>
      <c r="E36" s="162">
        <v>101</v>
      </c>
      <c r="F36" s="133"/>
      <c r="G36" s="134"/>
      <c r="H36" s="135"/>
      <c r="I36" s="134"/>
      <c r="J36" s="134"/>
      <c r="K36" s="134">
        <f t="shared" si="16"/>
        <v>0</v>
      </c>
      <c r="L36" s="87">
        <f t="shared" si="7"/>
        <v>0</v>
      </c>
      <c r="M36" s="87">
        <f t="shared" si="8"/>
        <v>0</v>
      </c>
      <c r="N36" s="87">
        <f t="shared" si="9"/>
        <v>0</v>
      </c>
      <c r="O36" s="87">
        <f t="shared" si="10"/>
        <v>0</v>
      </c>
      <c r="P36" s="88">
        <f t="shared" si="11"/>
        <v>0</v>
      </c>
    </row>
    <row r="37" spans="1:16" ht="26.4" x14ac:dyDescent="0.2">
      <c r="A37" s="160">
        <v>9</v>
      </c>
      <c r="B37" s="157"/>
      <c r="C37" s="161" t="s">
        <v>629</v>
      </c>
      <c r="D37" s="157" t="s">
        <v>62</v>
      </c>
      <c r="E37" s="162">
        <v>1</v>
      </c>
      <c r="F37" s="133"/>
      <c r="G37" s="134"/>
      <c r="H37" s="135"/>
      <c r="I37" s="134"/>
      <c r="J37" s="134"/>
      <c r="K37" s="134">
        <f t="shared" si="16"/>
        <v>0</v>
      </c>
      <c r="L37" s="87">
        <f t="shared" si="7"/>
        <v>0</v>
      </c>
      <c r="M37" s="87">
        <f t="shared" si="8"/>
        <v>0</v>
      </c>
      <c r="N37" s="87">
        <f t="shared" si="9"/>
        <v>0</v>
      </c>
      <c r="O37" s="87">
        <f t="shared" si="10"/>
        <v>0</v>
      </c>
      <c r="P37" s="88">
        <f t="shared" si="11"/>
        <v>0</v>
      </c>
    </row>
    <row r="38" spans="1:16" ht="26.4" x14ac:dyDescent="0.2">
      <c r="A38" s="160">
        <v>10</v>
      </c>
      <c r="B38" s="157"/>
      <c r="C38" s="161" t="s">
        <v>630</v>
      </c>
      <c r="D38" s="157" t="s">
        <v>62</v>
      </c>
      <c r="E38" s="162">
        <v>2</v>
      </c>
      <c r="F38" s="133"/>
      <c r="G38" s="134"/>
      <c r="H38" s="135"/>
      <c r="I38" s="134"/>
      <c r="J38" s="134"/>
      <c r="K38" s="134">
        <f t="shared" si="16"/>
        <v>0</v>
      </c>
      <c r="L38" s="87">
        <f t="shared" si="7"/>
        <v>0</v>
      </c>
      <c r="M38" s="87">
        <f t="shared" si="8"/>
        <v>0</v>
      </c>
      <c r="N38" s="87">
        <f t="shared" si="9"/>
        <v>0</v>
      </c>
      <c r="O38" s="87">
        <f t="shared" si="10"/>
        <v>0</v>
      </c>
      <c r="P38" s="88">
        <f t="shared" si="11"/>
        <v>0</v>
      </c>
    </row>
    <row r="39" spans="1:16" ht="13.2" x14ac:dyDescent="0.2">
      <c r="A39" s="160">
        <v>11</v>
      </c>
      <c r="B39" s="157"/>
      <c r="C39" s="161" t="s">
        <v>631</v>
      </c>
      <c r="D39" s="157" t="s">
        <v>62</v>
      </c>
      <c r="E39" s="162">
        <v>2</v>
      </c>
      <c r="F39" s="133"/>
      <c r="G39" s="134"/>
      <c r="H39" s="135"/>
      <c r="I39" s="134"/>
      <c r="J39" s="134"/>
      <c r="K39" s="134">
        <f t="shared" si="16"/>
        <v>0</v>
      </c>
      <c r="L39" s="87">
        <f t="shared" si="7"/>
        <v>0</v>
      </c>
      <c r="M39" s="87">
        <f t="shared" si="8"/>
        <v>0</v>
      </c>
      <c r="N39" s="87">
        <f t="shared" si="9"/>
        <v>0</v>
      </c>
      <c r="O39" s="87">
        <f t="shared" si="10"/>
        <v>0</v>
      </c>
      <c r="P39" s="88">
        <f t="shared" si="11"/>
        <v>0</v>
      </c>
    </row>
    <row r="40" spans="1:16" ht="13.2" x14ac:dyDescent="0.2">
      <c r="A40" s="160">
        <v>12</v>
      </c>
      <c r="B40" s="157"/>
      <c r="C40" s="161" t="s">
        <v>632</v>
      </c>
      <c r="D40" s="157" t="s">
        <v>62</v>
      </c>
      <c r="E40" s="162">
        <v>1</v>
      </c>
      <c r="F40" s="133"/>
      <c r="G40" s="134"/>
      <c r="H40" s="135"/>
      <c r="I40" s="134"/>
      <c r="J40" s="134"/>
      <c r="K40" s="134">
        <f t="shared" si="16"/>
        <v>0</v>
      </c>
      <c r="L40" s="87">
        <f t="shared" si="7"/>
        <v>0</v>
      </c>
      <c r="M40" s="87">
        <f t="shared" si="8"/>
        <v>0</v>
      </c>
      <c r="N40" s="87">
        <f t="shared" si="9"/>
        <v>0</v>
      </c>
      <c r="O40" s="87">
        <f t="shared" si="10"/>
        <v>0</v>
      </c>
      <c r="P40" s="88">
        <f t="shared" si="11"/>
        <v>0</v>
      </c>
    </row>
    <row r="41" spans="1:16" ht="13.8" thickBot="1" x14ac:dyDescent="0.25">
      <c r="A41" s="160">
        <v>13</v>
      </c>
      <c r="B41" s="157"/>
      <c r="C41" s="161" t="s">
        <v>633</v>
      </c>
      <c r="D41" s="157" t="s">
        <v>60</v>
      </c>
      <c r="E41" s="162">
        <v>1</v>
      </c>
      <c r="F41" s="133"/>
      <c r="G41" s="134"/>
      <c r="H41" s="135"/>
      <c r="I41" s="134"/>
      <c r="J41" s="134"/>
      <c r="K41" s="134">
        <f t="shared" si="16"/>
        <v>0</v>
      </c>
      <c r="L41" s="87">
        <f t="shared" si="7"/>
        <v>0</v>
      </c>
      <c r="M41" s="87">
        <f t="shared" si="8"/>
        <v>0</v>
      </c>
      <c r="N41" s="87">
        <f t="shared" si="9"/>
        <v>0</v>
      </c>
      <c r="O41" s="87">
        <f t="shared" si="10"/>
        <v>0</v>
      </c>
      <c r="P41" s="88">
        <f t="shared" si="11"/>
        <v>0</v>
      </c>
    </row>
    <row r="42" spans="1:16" ht="12" customHeight="1" thickBot="1" x14ac:dyDescent="0.25">
      <c r="A42" s="285"/>
      <c r="B42" s="286"/>
      <c r="C42" s="286"/>
      <c r="D42" s="286"/>
      <c r="E42" s="286"/>
      <c r="F42" s="286"/>
      <c r="G42" s="286"/>
      <c r="H42" s="286"/>
      <c r="I42" s="286"/>
      <c r="J42" s="286"/>
      <c r="K42" s="287"/>
      <c r="L42" s="52">
        <f>SUM(L14:L41)</f>
        <v>0</v>
      </c>
      <c r="M42" s="53">
        <f>SUM(M14:M41)</f>
        <v>0</v>
      </c>
      <c r="N42" s="53">
        <f>SUM(N14:N41)</f>
        <v>0</v>
      </c>
      <c r="O42" s="53">
        <f>SUM(O14:O41)</f>
        <v>0</v>
      </c>
      <c r="P42" s="54">
        <f>SUM(P14:P41)</f>
        <v>0</v>
      </c>
    </row>
    <row r="43" spans="1:16" x14ac:dyDescent="0.2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</row>
    <row r="44" spans="1:16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</row>
    <row r="45" spans="1:16" x14ac:dyDescent="0.2">
      <c r="A45" s="1" t="s">
        <v>18</v>
      </c>
      <c r="B45" s="14"/>
      <c r="C45" s="281">
        <f>'Kops a'!C35:H35</f>
        <v>0</v>
      </c>
      <c r="D45" s="281"/>
      <c r="E45" s="281"/>
      <c r="F45" s="281"/>
      <c r="G45" s="281"/>
      <c r="H45" s="281"/>
      <c r="I45" s="14"/>
      <c r="J45" s="14"/>
      <c r="K45" s="14"/>
      <c r="L45" s="14"/>
      <c r="M45" s="14"/>
      <c r="N45" s="14"/>
      <c r="O45" s="14"/>
      <c r="P45" s="14"/>
    </row>
    <row r="46" spans="1:16" x14ac:dyDescent="0.2">
      <c r="A46" s="14"/>
      <c r="B46" s="14"/>
      <c r="C46" s="216" t="s">
        <v>19</v>
      </c>
      <c r="D46" s="216"/>
      <c r="E46" s="216"/>
      <c r="F46" s="216"/>
      <c r="G46" s="216"/>
      <c r="H46" s="216"/>
      <c r="I46" s="14"/>
      <c r="J46" s="14"/>
      <c r="K46" s="14"/>
      <c r="L46" s="14"/>
      <c r="M46" s="14"/>
      <c r="N46" s="14"/>
      <c r="O46" s="14"/>
      <c r="P46" s="14"/>
    </row>
    <row r="47" spans="1:16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</row>
    <row r="48" spans="1:16" x14ac:dyDescent="0.2">
      <c r="A48" s="70" t="str">
        <f>'Kops a'!A38</f>
        <v>Tāme sastādīta</v>
      </c>
      <c r="B48" s="71"/>
      <c r="C48" s="71"/>
      <c r="D48" s="71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</row>
    <row r="49" spans="1:16" x14ac:dyDescent="0.2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</row>
    <row r="50" spans="1:16" x14ac:dyDescent="0.2">
      <c r="A50" s="1" t="s">
        <v>38</v>
      </c>
      <c r="B50" s="14"/>
      <c r="C50" s="281">
        <f>'Kops a'!C40:H40</f>
        <v>0</v>
      </c>
      <c r="D50" s="281"/>
      <c r="E50" s="281"/>
      <c r="F50" s="281"/>
      <c r="G50" s="281"/>
      <c r="H50" s="281"/>
      <c r="I50" s="14"/>
      <c r="J50" s="14"/>
      <c r="K50" s="14"/>
      <c r="L50" s="14"/>
      <c r="M50" s="14"/>
      <c r="N50" s="14"/>
      <c r="O50" s="14"/>
      <c r="P50" s="14"/>
    </row>
    <row r="51" spans="1:16" x14ac:dyDescent="0.2">
      <c r="A51" s="14"/>
      <c r="B51" s="14"/>
      <c r="C51" s="216" t="s">
        <v>19</v>
      </c>
      <c r="D51" s="216"/>
      <c r="E51" s="216"/>
      <c r="F51" s="216"/>
      <c r="G51" s="216"/>
      <c r="H51" s="216"/>
      <c r="I51" s="14"/>
      <c r="J51" s="14"/>
      <c r="K51" s="14"/>
      <c r="L51" s="14"/>
      <c r="M51" s="14"/>
      <c r="N51" s="14"/>
      <c r="O51" s="14"/>
      <c r="P51" s="14"/>
    </row>
    <row r="52" spans="1:16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</row>
    <row r="53" spans="1:16" x14ac:dyDescent="0.2">
      <c r="A53" s="70" t="s">
        <v>84</v>
      </c>
      <c r="B53" s="71"/>
      <c r="C53" s="75">
        <f>'Kops a'!C43</f>
        <v>0</v>
      </c>
      <c r="D53" s="39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</row>
    <row r="54" spans="1:16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</row>
  </sheetData>
  <mergeCells count="22">
    <mergeCell ref="C51:H51"/>
    <mergeCell ref="C4:I4"/>
    <mergeCell ref="F12:K12"/>
    <mergeCell ref="A9:F9"/>
    <mergeCell ref="J9:M9"/>
    <mergeCell ref="D8:L8"/>
    <mergeCell ref="A42:K42"/>
    <mergeCell ref="C45:H45"/>
    <mergeCell ref="C46:H46"/>
    <mergeCell ref="C50:H50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I15:J41 A15:G41">
    <cfRule type="cellIs" dxfId="18" priority="26" operator="equal">
      <formula>0</formula>
    </cfRule>
  </conditionalFormatting>
  <conditionalFormatting sqref="N9:O9 H14:H41 K14:P41">
    <cfRule type="cellIs" dxfId="17" priority="25" operator="equal">
      <formula>0</formula>
    </cfRule>
  </conditionalFormatting>
  <conditionalFormatting sqref="A9:F9">
    <cfRule type="containsText" dxfId="16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5" priority="22" operator="equal">
      <formula>0</formula>
    </cfRule>
  </conditionalFormatting>
  <conditionalFormatting sqref="O10">
    <cfRule type="cellIs" dxfId="14" priority="21" operator="equal">
      <formula>"20__. gada __. _________"</formula>
    </cfRule>
  </conditionalFormatting>
  <conditionalFormatting sqref="A42:K42">
    <cfRule type="containsText" dxfId="13" priority="20" operator="containsText" text="Tiešās izmaksas kopā, t. sk. darba devēja sociālais nodoklis __.__% ">
      <formula>NOT(ISERROR(SEARCH("Tiešās izmaksas kopā, t. sk. darba devēja sociālais nodoklis __.__% ",A42)))</formula>
    </cfRule>
  </conditionalFormatting>
  <conditionalFormatting sqref="L42:P42">
    <cfRule type="cellIs" dxfId="12" priority="15" operator="equal">
      <formula>0</formula>
    </cfRule>
  </conditionalFormatting>
  <conditionalFormatting sqref="C4:I4">
    <cfRule type="cellIs" dxfId="11" priority="14" operator="equal">
      <formula>0</formula>
    </cfRule>
  </conditionalFormatting>
  <conditionalFormatting sqref="D5:L8">
    <cfRule type="cellIs" dxfId="10" priority="11" operator="equal">
      <formula>0</formula>
    </cfRule>
  </conditionalFormatting>
  <conditionalFormatting sqref="A14:B14 D14:G14">
    <cfRule type="cellIs" dxfId="9" priority="10" operator="equal">
      <formula>0</formula>
    </cfRule>
  </conditionalFormatting>
  <conditionalFormatting sqref="C14">
    <cfRule type="cellIs" dxfId="8" priority="9" operator="equal">
      <formula>0</formula>
    </cfRule>
  </conditionalFormatting>
  <conditionalFormatting sqref="I14:J14">
    <cfRule type="cellIs" dxfId="7" priority="8" operator="equal">
      <formula>0</formula>
    </cfRule>
  </conditionalFormatting>
  <conditionalFormatting sqref="P10">
    <cfRule type="cellIs" dxfId="6" priority="7" operator="equal">
      <formula>"20__. gada __. _________"</formula>
    </cfRule>
  </conditionalFormatting>
  <conditionalFormatting sqref="C50:H50">
    <cfRule type="cellIs" dxfId="5" priority="4" operator="equal">
      <formula>0</formula>
    </cfRule>
  </conditionalFormatting>
  <conditionalFormatting sqref="C45:H45">
    <cfRule type="cellIs" dxfId="4" priority="3" operator="equal">
      <formula>0</formula>
    </cfRule>
  </conditionalFormatting>
  <conditionalFormatting sqref="C50:H50 C53 C45:H45">
    <cfRule type="cellIs" dxfId="3" priority="2" operator="equal">
      <formula>0</formula>
    </cfRule>
  </conditionalFormatting>
  <conditionalFormatting sqref="D1">
    <cfRule type="cellIs" dxfId="2" priority="1" operator="equal">
      <formula>0</formula>
    </cfRule>
  </conditionalFormatting>
  <pageMargins left="0.7" right="0.7" top="0.75" bottom="0.75" header="0.3" footer="0.3"/>
  <pageSetup paperSize="9" scale="9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45D7A31B-95E8-45F0-9D12-B108FC33E7AF}">
            <xm:f>NOT(ISERROR(SEARCH("Tāme sastādīta ____. gada ___. ______________",A48)))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A48</xm:sqref>
        </x14:conditionalFormatting>
        <x14:conditionalFormatting xmlns:xm="http://schemas.microsoft.com/office/excel/2006/main">
          <x14:cfRule type="containsText" priority="5" operator="containsText" id="{50CFFC24-35AC-49A6-927D-52D883159D51}">
            <xm:f>NOT(ISERROR(SEARCH("Sertifikāta Nr. _________________________________",A53)))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53"/>
  <sheetViews>
    <sheetView zoomScaleNormal="100" zoomScaleSheetLayoutView="100" workbookViewId="0">
      <selection activeCell="D6" sqref="D6:I6"/>
    </sheetView>
  </sheetViews>
  <sheetFormatPr defaultColWidth="3.6640625" defaultRowHeight="10.199999999999999" x14ac:dyDescent="0.2"/>
  <cols>
    <col min="1" max="1" width="4" style="1" customWidth="1"/>
    <col min="2" max="2" width="5.33203125" style="1" customWidth="1"/>
    <col min="3" max="3" width="21.109375" style="1" customWidth="1"/>
    <col min="4" max="4" width="17.109375" style="1" customWidth="1"/>
    <col min="5" max="5" width="11.88671875" style="1" customWidth="1"/>
    <col min="6" max="6" width="9.88671875" style="1" customWidth="1"/>
    <col min="7" max="7" width="10" style="1" customWidth="1"/>
    <col min="8" max="8" width="8.6640625" style="1" customWidth="1"/>
    <col min="9" max="188" width="9.109375" style="1" customWidth="1"/>
    <col min="189" max="189" width="3.6640625" style="1"/>
    <col min="190" max="190" width="4.5546875" style="1" customWidth="1"/>
    <col min="191" max="191" width="5.88671875" style="1" customWidth="1"/>
    <col min="192" max="192" width="36" style="1" customWidth="1"/>
    <col min="193" max="193" width="9.6640625" style="1" customWidth="1"/>
    <col min="194" max="194" width="11.88671875" style="1" customWidth="1"/>
    <col min="195" max="195" width="9" style="1" customWidth="1"/>
    <col min="196" max="196" width="9.6640625" style="1" customWidth="1"/>
    <col min="197" max="197" width="9.33203125" style="1" customWidth="1"/>
    <col min="198" max="198" width="8.6640625" style="1" customWidth="1"/>
    <col min="199" max="199" width="6.88671875" style="1" customWidth="1"/>
    <col min="200" max="444" width="9.109375" style="1" customWidth="1"/>
    <col min="445" max="445" width="3.6640625" style="1"/>
    <col min="446" max="446" width="4.5546875" style="1" customWidth="1"/>
    <col min="447" max="447" width="5.88671875" style="1" customWidth="1"/>
    <col min="448" max="448" width="36" style="1" customWidth="1"/>
    <col min="449" max="449" width="9.6640625" style="1" customWidth="1"/>
    <col min="450" max="450" width="11.88671875" style="1" customWidth="1"/>
    <col min="451" max="451" width="9" style="1" customWidth="1"/>
    <col min="452" max="452" width="9.6640625" style="1" customWidth="1"/>
    <col min="453" max="453" width="9.33203125" style="1" customWidth="1"/>
    <col min="454" max="454" width="8.6640625" style="1" customWidth="1"/>
    <col min="455" max="455" width="6.88671875" style="1" customWidth="1"/>
    <col min="456" max="700" width="9.109375" style="1" customWidth="1"/>
    <col min="701" max="701" width="3.6640625" style="1"/>
    <col min="702" max="702" width="4.5546875" style="1" customWidth="1"/>
    <col min="703" max="703" width="5.88671875" style="1" customWidth="1"/>
    <col min="704" max="704" width="36" style="1" customWidth="1"/>
    <col min="705" max="705" width="9.6640625" style="1" customWidth="1"/>
    <col min="706" max="706" width="11.88671875" style="1" customWidth="1"/>
    <col min="707" max="707" width="9" style="1" customWidth="1"/>
    <col min="708" max="708" width="9.6640625" style="1" customWidth="1"/>
    <col min="709" max="709" width="9.33203125" style="1" customWidth="1"/>
    <col min="710" max="710" width="8.6640625" style="1" customWidth="1"/>
    <col min="711" max="711" width="6.88671875" style="1" customWidth="1"/>
    <col min="712" max="956" width="9.109375" style="1" customWidth="1"/>
    <col min="957" max="957" width="3.6640625" style="1"/>
    <col min="958" max="958" width="4.5546875" style="1" customWidth="1"/>
    <col min="959" max="959" width="5.88671875" style="1" customWidth="1"/>
    <col min="960" max="960" width="36" style="1" customWidth="1"/>
    <col min="961" max="961" width="9.6640625" style="1" customWidth="1"/>
    <col min="962" max="962" width="11.88671875" style="1" customWidth="1"/>
    <col min="963" max="963" width="9" style="1" customWidth="1"/>
    <col min="964" max="964" width="9.6640625" style="1" customWidth="1"/>
    <col min="965" max="965" width="9.33203125" style="1" customWidth="1"/>
    <col min="966" max="966" width="8.6640625" style="1" customWidth="1"/>
    <col min="967" max="967" width="6.88671875" style="1" customWidth="1"/>
    <col min="968" max="1212" width="9.109375" style="1" customWidth="1"/>
    <col min="1213" max="1213" width="3.6640625" style="1"/>
    <col min="1214" max="1214" width="4.5546875" style="1" customWidth="1"/>
    <col min="1215" max="1215" width="5.88671875" style="1" customWidth="1"/>
    <col min="1216" max="1216" width="36" style="1" customWidth="1"/>
    <col min="1217" max="1217" width="9.6640625" style="1" customWidth="1"/>
    <col min="1218" max="1218" width="11.88671875" style="1" customWidth="1"/>
    <col min="1219" max="1219" width="9" style="1" customWidth="1"/>
    <col min="1220" max="1220" width="9.6640625" style="1" customWidth="1"/>
    <col min="1221" max="1221" width="9.33203125" style="1" customWidth="1"/>
    <col min="1222" max="1222" width="8.6640625" style="1" customWidth="1"/>
    <col min="1223" max="1223" width="6.88671875" style="1" customWidth="1"/>
    <col min="1224" max="1468" width="9.109375" style="1" customWidth="1"/>
    <col min="1469" max="1469" width="3.6640625" style="1"/>
    <col min="1470" max="1470" width="4.5546875" style="1" customWidth="1"/>
    <col min="1471" max="1471" width="5.88671875" style="1" customWidth="1"/>
    <col min="1472" max="1472" width="36" style="1" customWidth="1"/>
    <col min="1473" max="1473" width="9.6640625" style="1" customWidth="1"/>
    <col min="1474" max="1474" width="11.88671875" style="1" customWidth="1"/>
    <col min="1475" max="1475" width="9" style="1" customWidth="1"/>
    <col min="1476" max="1476" width="9.6640625" style="1" customWidth="1"/>
    <col min="1477" max="1477" width="9.33203125" style="1" customWidth="1"/>
    <col min="1478" max="1478" width="8.6640625" style="1" customWidth="1"/>
    <col min="1479" max="1479" width="6.88671875" style="1" customWidth="1"/>
    <col min="1480" max="1724" width="9.109375" style="1" customWidth="1"/>
    <col min="1725" max="1725" width="3.6640625" style="1"/>
    <col min="1726" max="1726" width="4.5546875" style="1" customWidth="1"/>
    <col min="1727" max="1727" width="5.88671875" style="1" customWidth="1"/>
    <col min="1728" max="1728" width="36" style="1" customWidth="1"/>
    <col min="1729" max="1729" width="9.6640625" style="1" customWidth="1"/>
    <col min="1730" max="1730" width="11.88671875" style="1" customWidth="1"/>
    <col min="1731" max="1731" width="9" style="1" customWidth="1"/>
    <col min="1732" max="1732" width="9.6640625" style="1" customWidth="1"/>
    <col min="1733" max="1733" width="9.33203125" style="1" customWidth="1"/>
    <col min="1734" max="1734" width="8.6640625" style="1" customWidth="1"/>
    <col min="1735" max="1735" width="6.88671875" style="1" customWidth="1"/>
    <col min="1736" max="1980" width="9.109375" style="1" customWidth="1"/>
    <col min="1981" max="1981" width="3.6640625" style="1"/>
    <col min="1982" max="1982" width="4.5546875" style="1" customWidth="1"/>
    <col min="1983" max="1983" width="5.88671875" style="1" customWidth="1"/>
    <col min="1984" max="1984" width="36" style="1" customWidth="1"/>
    <col min="1985" max="1985" width="9.6640625" style="1" customWidth="1"/>
    <col min="1986" max="1986" width="11.88671875" style="1" customWidth="1"/>
    <col min="1987" max="1987" width="9" style="1" customWidth="1"/>
    <col min="1988" max="1988" width="9.6640625" style="1" customWidth="1"/>
    <col min="1989" max="1989" width="9.33203125" style="1" customWidth="1"/>
    <col min="1990" max="1990" width="8.6640625" style="1" customWidth="1"/>
    <col min="1991" max="1991" width="6.88671875" style="1" customWidth="1"/>
    <col min="1992" max="2236" width="9.109375" style="1" customWidth="1"/>
    <col min="2237" max="2237" width="3.6640625" style="1"/>
    <col min="2238" max="2238" width="4.5546875" style="1" customWidth="1"/>
    <col min="2239" max="2239" width="5.88671875" style="1" customWidth="1"/>
    <col min="2240" max="2240" width="36" style="1" customWidth="1"/>
    <col min="2241" max="2241" width="9.6640625" style="1" customWidth="1"/>
    <col min="2242" max="2242" width="11.88671875" style="1" customWidth="1"/>
    <col min="2243" max="2243" width="9" style="1" customWidth="1"/>
    <col min="2244" max="2244" width="9.6640625" style="1" customWidth="1"/>
    <col min="2245" max="2245" width="9.33203125" style="1" customWidth="1"/>
    <col min="2246" max="2246" width="8.6640625" style="1" customWidth="1"/>
    <col min="2247" max="2247" width="6.88671875" style="1" customWidth="1"/>
    <col min="2248" max="2492" width="9.109375" style="1" customWidth="1"/>
    <col min="2493" max="2493" width="3.6640625" style="1"/>
    <col min="2494" max="2494" width="4.5546875" style="1" customWidth="1"/>
    <col min="2495" max="2495" width="5.88671875" style="1" customWidth="1"/>
    <col min="2496" max="2496" width="36" style="1" customWidth="1"/>
    <col min="2497" max="2497" width="9.6640625" style="1" customWidth="1"/>
    <col min="2498" max="2498" width="11.88671875" style="1" customWidth="1"/>
    <col min="2499" max="2499" width="9" style="1" customWidth="1"/>
    <col min="2500" max="2500" width="9.6640625" style="1" customWidth="1"/>
    <col min="2501" max="2501" width="9.33203125" style="1" customWidth="1"/>
    <col min="2502" max="2502" width="8.6640625" style="1" customWidth="1"/>
    <col min="2503" max="2503" width="6.88671875" style="1" customWidth="1"/>
    <col min="2504" max="2748" width="9.109375" style="1" customWidth="1"/>
    <col min="2749" max="2749" width="3.6640625" style="1"/>
    <col min="2750" max="2750" width="4.5546875" style="1" customWidth="1"/>
    <col min="2751" max="2751" width="5.88671875" style="1" customWidth="1"/>
    <col min="2752" max="2752" width="36" style="1" customWidth="1"/>
    <col min="2753" max="2753" width="9.6640625" style="1" customWidth="1"/>
    <col min="2754" max="2754" width="11.88671875" style="1" customWidth="1"/>
    <col min="2755" max="2755" width="9" style="1" customWidth="1"/>
    <col min="2756" max="2756" width="9.6640625" style="1" customWidth="1"/>
    <col min="2757" max="2757" width="9.33203125" style="1" customWidth="1"/>
    <col min="2758" max="2758" width="8.6640625" style="1" customWidth="1"/>
    <col min="2759" max="2759" width="6.88671875" style="1" customWidth="1"/>
    <col min="2760" max="3004" width="9.109375" style="1" customWidth="1"/>
    <col min="3005" max="3005" width="3.6640625" style="1"/>
    <col min="3006" max="3006" width="4.5546875" style="1" customWidth="1"/>
    <col min="3007" max="3007" width="5.88671875" style="1" customWidth="1"/>
    <col min="3008" max="3008" width="36" style="1" customWidth="1"/>
    <col min="3009" max="3009" width="9.6640625" style="1" customWidth="1"/>
    <col min="3010" max="3010" width="11.88671875" style="1" customWidth="1"/>
    <col min="3011" max="3011" width="9" style="1" customWidth="1"/>
    <col min="3012" max="3012" width="9.6640625" style="1" customWidth="1"/>
    <col min="3013" max="3013" width="9.33203125" style="1" customWidth="1"/>
    <col min="3014" max="3014" width="8.6640625" style="1" customWidth="1"/>
    <col min="3015" max="3015" width="6.88671875" style="1" customWidth="1"/>
    <col min="3016" max="3260" width="9.109375" style="1" customWidth="1"/>
    <col min="3261" max="3261" width="3.6640625" style="1"/>
    <col min="3262" max="3262" width="4.5546875" style="1" customWidth="1"/>
    <col min="3263" max="3263" width="5.88671875" style="1" customWidth="1"/>
    <col min="3264" max="3264" width="36" style="1" customWidth="1"/>
    <col min="3265" max="3265" width="9.6640625" style="1" customWidth="1"/>
    <col min="3266" max="3266" width="11.88671875" style="1" customWidth="1"/>
    <col min="3267" max="3267" width="9" style="1" customWidth="1"/>
    <col min="3268" max="3268" width="9.6640625" style="1" customWidth="1"/>
    <col min="3269" max="3269" width="9.33203125" style="1" customWidth="1"/>
    <col min="3270" max="3270" width="8.6640625" style="1" customWidth="1"/>
    <col min="3271" max="3271" width="6.88671875" style="1" customWidth="1"/>
    <col min="3272" max="3516" width="9.109375" style="1" customWidth="1"/>
    <col min="3517" max="3517" width="3.6640625" style="1"/>
    <col min="3518" max="3518" width="4.5546875" style="1" customWidth="1"/>
    <col min="3519" max="3519" width="5.88671875" style="1" customWidth="1"/>
    <col min="3520" max="3520" width="36" style="1" customWidth="1"/>
    <col min="3521" max="3521" width="9.6640625" style="1" customWidth="1"/>
    <col min="3522" max="3522" width="11.88671875" style="1" customWidth="1"/>
    <col min="3523" max="3523" width="9" style="1" customWidth="1"/>
    <col min="3524" max="3524" width="9.6640625" style="1" customWidth="1"/>
    <col min="3525" max="3525" width="9.33203125" style="1" customWidth="1"/>
    <col min="3526" max="3526" width="8.6640625" style="1" customWidth="1"/>
    <col min="3527" max="3527" width="6.88671875" style="1" customWidth="1"/>
    <col min="3528" max="3772" width="9.109375" style="1" customWidth="1"/>
    <col min="3773" max="3773" width="3.6640625" style="1"/>
    <col min="3774" max="3774" width="4.5546875" style="1" customWidth="1"/>
    <col min="3775" max="3775" width="5.88671875" style="1" customWidth="1"/>
    <col min="3776" max="3776" width="36" style="1" customWidth="1"/>
    <col min="3777" max="3777" width="9.6640625" style="1" customWidth="1"/>
    <col min="3778" max="3778" width="11.88671875" style="1" customWidth="1"/>
    <col min="3779" max="3779" width="9" style="1" customWidth="1"/>
    <col min="3780" max="3780" width="9.6640625" style="1" customWidth="1"/>
    <col min="3781" max="3781" width="9.33203125" style="1" customWidth="1"/>
    <col min="3782" max="3782" width="8.6640625" style="1" customWidth="1"/>
    <col min="3783" max="3783" width="6.88671875" style="1" customWidth="1"/>
    <col min="3784" max="4028" width="9.109375" style="1" customWidth="1"/>
    <col min="4029" max="4029" width="3.6640625" style="1"/>
    <col min="4030" max="4030" width="4.5546875" style="1" customWidth="1"/>
    <col min="4031" max="4031" width="5.88671875" style="1" customWidth="1"/>
    <col min="4032" max="4032" width="36" style="1" customWidth="1"/>
    <col min="4033" max="4033" width="9.6640625" style="1" customWidth="1"/>
    <col min="4034" max="4034" width="11.88671875" style="1" customWidth="1"/>
    <col min="4035" max="4035" width="9" style="1" customWidth="1"/>
    <col min="4036" max="4036" width="9.6640625" style="1" customWidth="1"/>
    <col min="4037" max="4037" width="9.33203125" style="1" customWidth="1"/>
    <col min="4038" max="4038" width="8.6640625" style="1" customWidth="1"/>
    <col min="4039" max="4039" width="6.88671875" style="1" customWidth="1"/>
    <col min="4040" max="4284" width="9.109375" style="1" customWidth="1"/>
    <col min="4285" max="4285" width="3.6640625" style="1"/>
    <col min="4286" max="4286" width="4.5546875" style="1" customWidth="1"/>
    <col min="4287" max="4287" width="5.88671875" style="1" customWidth="1"/>
    <col min="4288" max="4288" width="36" style="1" customWidth="1"/>
    <col min="4289" max="4289" width="9.6640625" style="1" customWidth="1"/>
    <col min="4290" max="4290" width="11.88671875" style="1" customWidth="1"/>
    <col min="4291" max="4291" width="9" style="1" customWidth="1"/>
    <col min="4292" max="4292" width="9.6640625" style="1" customWidth="1"/>
    <col min="4293" max="4293" width="9.33203125" style="1" customWidth="1"/>
    <col min="4294" max="4294" width="8.6640625" style="1" customWidth="1"/>
    <col min="4295" max="4295" width="6.88671875" style="1" customWidth="1"/>
    <col min="4296" max="4540" width="9.109375" style="1" customWidth="1"/>
    <col min="4541" max="4541" width="3.6640625" style="1"/>
    <col min="4542" max="4542" width="4.5546875" style="1" customWidth="1"/>
    <col min="4543" max="4543" width="5.88671875" style="1" customWidth="1"/>
    <col min="4544" max="4544" width="36" style="1" customWidth="1"/>
    <col min="4545" max="4545" width="9.6640625" style="1" customWidth="1"/>
    <col min="4546" max="4546" width="11.88671875" style="1" customWidth="1"/>
    <col min="4547" max="4547" width="9" style="1" customWidth="1"/>
    <col min="4548" max="4548" width="9.6640625" style="1" customWidth="1"/>
    <col min="4549" max="4549" width="9.33203125" style="1" customWidth="1"/>
    <col min="4550" max="4550" width="8.6640625" style="1" customWidth="1"/>
    <col min="4551" max="4551" width="6.88671875" style="1" customWidth="1"/>
    <col min="4552" max="4796" width="9.109375" style="1" customWidth="1"/>
    <col min="4797" max="4797" width="3.6640625" style="1"/>
    <col min="4798" max="4798" width="4.5546875" style="1" customWidth="1"/>
    <col min="4799" max="4799" width="5.88671875" style="1" customWidth="1"/>
    <col min="4800" max="4800" width="36" style="1" customWidth="1"/>
    <col min="4801" max="4801" width="9.6640625" style="1" customWidth="1"/>
    <col min="4802" max="4802" width="11.88671875" style="1" customWidth="1"/>
    <col min="4803" max="4803" width="9" style="1" customWidth="1"/>
    <col min="4804" max="4804" width="9.6640625" style="1" customWidth="1"/>
    <col min="4805" max="4805" width="9.33203125" style="1" customWidth="1"/>
    <col min="4806" max="4806" width="8.6640625" style="1" customWidth="1"/>
    <col min="4807" max="4807" width="6.88671875" style="1" customWidth="1"/>
    <col min="4808" max="5052" width="9.109375" style="1" customWidth="1"/>
    <col min="5053" max="5053" width="3.6640625" style="1"/>
    <col min="5054" max="5054" width="4.5546875" style="1" customWidth="1"/>
    <col min="5055" max="5055" width="5.88671875" style="1" customWidth="1"/>
    <col min="5056" max="5056" width="36" style="1" customWidth="1"/>
    <col min="5057" max="5057" width="9.6640625" style="1" customWidth="1"/>
    <col min="5058" max="5058" width="11.88671875" style="1" customWidth="1"/>
    <col min="5059" max="5059" width="9" style="1" customWidth="1"/>
    <col min="5060" max="5060" width="9.6640625" style="1" customWidth="1"/>
    <col min="5061" max="5061" width="9.33203125" style="1" customWidth="1"/>
    <col min="5062" max="5062" width="8.6640625" style="1" customWidth="1"/>
    <col min="5063" max="5063" width="6.88671875" style="1" customWidth="1"/>
    <col min="5064" max="5308" width="9.109375" style="1" customWidth="1"/>
    <col min="5309" max="5309" width="3.6640625" style="1"/>
    <col min="5310" max="5310" width="4.5546875" style="1" customWidth="1"/>
    <col min="5311" max="5311" width="5.88671875" style="1" customWidth="1"/>
    <col min="5312" max="5312" width="36" style="1" customWidth="1"/>
    <col min="5313" max="5313" width="9.6640625" style="1" customWidth="1"/>
    <col min="5314" max="5314" width="11.88671875" style="1" customWidth="1"/>
    <col min="5315" max="5315" width="9" style="1" customWidth="1"/>
    <col min="5316" max="5316" width="9.6640625" style="1" customWidth="1"/>
    <col min="5317" max="5317" width="9.33203125" style="1" customWidth="1"/>
    <col min="5318" max="5318" width="8.6640625" style="1" customWidth="1"/>
    <col min="5319" max="5319" width="6.88671875" style="1" customWidth="1"/>
    <col min="5320" max="5564" width="9.109375" style="1" customWidth="1"/>
    <col min="5565" max="5565" width="3.6640625" style="1"/>
    <col min="5566" max="5566" width="4.5546875" style="1" customWidth="1"/>
    <col min="5567" max="5567" width="5.88671875" style="1" customWidth="1"/>
    <col min="5568" max="5568" width="36" style="1" customWidth="1"/>
    <col min="5569" max="5569" width="9.6640625" style="1" customWidth="1"/>
    <col min="5570" max="5570" width="11.88671875" style="1" customWidth="1"/>
    <col min="5571" max="5571" width="9" style="1" customWidth="1"/>
    <col min="5572" max="5572" width="9.6640625" style="1" customWidth="1"/>
    <col min="5573" max="5573" width="9.33203125" style="1" customWidth="1"/>
    <col min="5574" max="5574" width="8.6640625" style="1" customWidth="1"/>
    <col min="5575" max="5575" width="6.88671875" style="1" customWidth="1"/>
    <col min="5576" max="5820" width="9.109375" style="1" customWidth="1"/>
    <col min="5821" max="5821" width="3.6640625" style="1"/>
    <col min="5822" max="5822" width="4.5546875" style="1" customWidth="1"/>
    <col min="5823" max="5823" width="5.88671875" style="1" customWidth="1"/>
    <col min="5824" max="5824" width="36" style="1" customWidth="1"/>
    <col min="5825" max="5825" width="9.6640625" style="1" customWidth="1"/>
    <col min="5826" max="5826" width="11.88671875" style="1" customWidth="1"/>
    <col min="5827" max="5827" width="9" style="1" customWidth="1"/>
    <col min="5828" max="5828" width="9.6640625" style="1" customWidth="1"/>
    <col min="5829" max="5829" width="9.33203125" style="1" customWidth="1"/>
    <col min="5830" max="5830" width="8.6640625" style="1" customWidth="1"/>
    <col min="5831" max="5831" width="6.88671875" style="1" customWidth="1"/>
    <col min="5832" max="6076" width="9.109375" style="1" customWidth="1"/>
    <col min="6077" max="6077" width="3.6640625" style="1"/>
    <col min="6078" max="6078" width="4.5546875" style="1" customWidth="1"/>
    <col min="6079" max="6079" width="5.88671875" style="1" customWidth="1"/>
    <col min="6080" max="6080" width="36" style="1" customWidth="1"/>
    <col min="6081" max="6081" width="9.6640625" style="1" customWidth="1"/>
    <col min="6082" max="6082" width="11.88671875" style="1" customWidth="1"/>
    <col min="6083" max="6083" width="9" style="1" customWidth="1"/>
    <col min="6084" max="6084" width="9.6640625" style="1" customWidth="1"/>
    <col min="6085" max="6085" width="9.33203125" style="1" customWidth="1"/>
    <col min="6086" max="6086" width="8.6640625" style="1" customWidth="1"/>
    <col min="6087" max="6087" width="6.88671875" style="1" customWidth="1"/>
    <col min="6088" max="6332" width="9.109375" style="1" customWidth="1"/>
    <col min="6333" max="6333" width="3.6640625" style="1"/>
    <col min="6334" max="6334" width="4.5546875" style="1" customWidth="1"/>
    <col min="6335" max="6335" width="5.88671875" style="1" customWidth="1"/>
    <col min="6336" max="6336" width="36" style="1" customWidth="1"/>
    <col min="6337" max="6337" width="9.6640625" style="1" customWidth="1"/>
    <col min="6338" max="6338" width="11.88671875" style="1" customWidth="1"/>
    <col min="6339" max="6339" width="9" style="1" customWidth="1"/>
    <col min="6340" max="6340" width="9.6640625" style="1" customWidth="1"/>
    <col min="6341" max="6341" width="9.33203125" style="1" customWidth="1"/>
    <col min="6342" max="6342" width="8.6640625" style="1" customWidth="1"/>
    <col min="6343" max="6343" width="6.88671875" style="1" customWidth="1"/>
    <col min="6344" max="6588" width="9.109375" style="1" customWidth="1"/>
    <col min="6589" max="6589" width="3.6640625" style="1"/>
    <col min="6590" max="6590" width="4.5546875" style="1" customWidth="1"/>
    <col min="6591" max="6591" width="5.88671875" style="1" customWidth="1"/>
    <col min="6592" max="6592" width="36" style="1" customWidth="1"/>
    <col min="6593" max="6593" width="9.6640625" style="1" customWidth="1"/>
    <col min="6594" max="6594" width="11.88671875" style="1" customWidth="1"/>
    <col min="6595" max="6595" width="9" style="1" customWidth="1"/>
    <col min="6596" max="6596" width="9.6640625" style="1" customWidth="1"/>
    <col min="6597" max="6597" width="9.33203125" style="1" customWidth="1"/>
    <col min="6598" max="6598" width="8.6640625" style="1" customWidth="1"/>
    <col min="6599" max="6599" width="6.88671875" style="1" customWidth="1"/>
    <col min="6600" max="6844" width="9.109375" style="1" customWidth="1"/>
    <col min="6845" max="6845" width="3.6640625" style="1"/>
    <col min="6846" max="6846" width="4.5546875" style="1" customWidth="1"/>
    <col min="6847" max="6847" width="5.88671875" style="1" customWidth="1"/>
    <col min="6848" max="6848" width="36" style="1" customWidth="1"/>
    <col min="6849" max="6849" width="9.6640625" style="1" customWidth="1"/>
    <col min="6850" max="6850" width="11.88671875" style="1" customWidth="1"/>
    <col min="6851" max="6851" width="9" style="1" customWidth="1"/>
    <col min="6852" max="6852" width="9.6640625" style="1" customWidth="1"/>
    <col min="6853" max="6853" width="9.33203125" style="1" customWidth="1"/>
    <col min="6854" max="6854" width="8.6640625" style="1" customWidth="1"/>
    <col min="6855" max="6855" width="6.88671875" style="1" customWidth="1"/>
    <col min="6856" max="7100" width="9.109375" style="1" customWidth="1"/>
    <col min="7101" max="7101" width="3.6640625" style="1"/>
    <col min="7102" max="7102" width="4.5546875" style="1" customWidth="1"/>
    <col min="7103" max="7103" width="5.88671875" style="1" customWidth="1"/>
    <col min="7104" max="7104" width="36" style="1" customWidth="1"/>
    <col min="7105" max="7105" width="9.6640625" style="1" customWidth="1"/>
    <col min="7106" max="7106" width="11.88671875" style="1" customWidth="1"/>
    <col min="7107" max="7107" width="9" style="1" customWidth="1"/>
    <col min="7108" max="7108" width="9.6640625" style="1" customWidth="1"/>
    <col min="7109" max="7109" width="9.33203125" style="1" customWidth="1"/>
    <col min="7110" max="7110" width="8.6640625" style="1" customWidth="1"/>
    <col min="7111" max="7111" width="6.88671875" style="1" customWidth="1"/>
    <col min="7112" max="7356" width="9.109375" style="1" customWidth="1"/>
    <col min="7357" max="7357" width="3.6640625" style="1"/>
    <col min="7358" max="7358" width="4.5546875" style="1" customWidth="1"/>
    <col min="7359" max="7359" width="5.88671875" style="1" customWidth="1"/>
    <col min="7360" max="7360" width="36" style="1" customWidth="1"/>
    <col min="7361" max="7361" width="9.6640625" style="1" customWidth="1"/>
    <col min="7362" max="7362" width="11.88671875" style="1" customWidth="1"/>
    <col min="7363" max="7363" width="9" style="1" customWidth="1"/>
    <col min="7364" max="7364" width="9.6640625" style="1" customWidth="1"/>
    <col min="7365" max="7365" width="9.33203125" style="1" customWidth="1"/>
    <col min="7366" max="7366" width="8.6640625" style="1" customWidth="1"/>
    <col min="7367" max="7367" width="6.88671875" style="1" customWidth="1"/>
    <col min="7368" max="7612" width="9.109375" style="1" customWidth="1"/>
    <col min="7613" max="7613" width="3.6640625" style="1"/>
    <col min="7614" max="7614" width="4.5546875" style="1" customWidth="1"/>
    <col min="7615" max="7615" width="5.88671875" style="1" customWidth="1"/>
    <col min="7616" max="7616" width="36" style="1" customWidth="1"/>
    <col min="7617" max="7617" width="9.6640625" style="1" customWidth="1"/>
    <col min="7618" max="7618" width="11.88671875" style="1" customWidth="1"/>
    <col min="7619" max="7619" width="9" style="1" customWidth="1"/>
    <col min="7620" max="7620" width="9.6640625" style="1" customWidth="1"/>
    <col min="7621" max="7621" width="9.33203125" style="1" customWidth="1"/>
    <col min="7622" max="7622" width="8.6640625" style="1" customWidth="1"/>
    <col min="7623" max="7623" width="6.88671875" style="1" customWidth="1"/>
    <col min="7624" max="7868" width="9.109375" style="1" customWidth="1"/>
    <col min="7869" max="7869" width="3.6640625" style="1"/>
    <col min="7870" max="7870" width="4.5546875" style="1" customWidth="1"/>
    <col min="7871" max="7871" width="5.88671875" style="1" customWidth="1"/>
    <col min="7872" max="7872" width="36" style="1" customWidth="1"/>
    <col min="7873" max="7873" width="9.6640625" style="1" customWidth="1"/>
    <col min="7874" max="7874" width="11.88671875" style="1" customWidth="1"/>
    <col min="7875" max="7875" width="9" style="1" customWidth="1"/>
    <col min="7876" max="7876" width="9.6640625" style="1" customWidth="1"/>
    <col min="7877" max="7877" width="9.33203125" style="1" customWidth="1"/>
    <col min="7878" max="7878" width="8.6640625" style="1" customWidth="1"/>
    <col min="7879" max="7879" width="6.88671875" style="1" customWidth="1"/>
    <col min="7880" max="8124" width="9.109375" style="1" customWidth="1"/>
    <col min="8125" max="8125" width="3.6640625" style="1"/>
    <col min="8126" max="8126" width="4.5546875" style="1" customWidth="1"/>
    <col min="8127" max="8127" width="5.88671875" style="1" customWidth="1"/>
    <col min="8128" max="8128" width="36" style="1" customWidth="1"/>
    <col min="8129" max="8129" width="9.6640625" style="1" customWidth="1"/>
    <col min="8130" max="8130" width="11.88671875" style="1" customWidth="1"/>
    <col min="8131" max="8131" width="9" style="1" customWidth="1"/>
    <col min="8132" max="8132" width="9.6640625" style="1" customWidth="1"/>
    <col min="8133" max="8133" width="9.33203125" style="1" customWidth="1"/>
    <col min="8134" max="8134" width="8.6640625" style="1" customWidth="1"/>
    <col min="8135" max="8135" width="6.88671875" style="1" customWidth="1"/>
    <col min="8136" max="8380" width="9.109375" style="1" customWidth="1"/>
    <col min="8381" max="8381" width="3.6640625" style="1"/>
    <col min="8382" max="8382" width="4.5546875" style="1" customWidth="1"/>
    <col min="8383" max="8383" width="5.88671875" style="1" customWidth="1"/>
    <col min="8384" max="8384" width="36" style="1" customWidth="1"/>
    <col min="8385" max="8385" width="9.6640625" style="1" customWidth="1"/>
    <col min="8386" max="8386" width="11.88671875" style="1" customWidth="1"/>
    <col min="8387" max="8387" width="9" style="1" customWidth="1"/>
    <col min="8388" max="8388" width="9.6640625" style="1" customWidth="1"/>
    <col min="8389" max="8389" width="9.33203125" style="1" customWidth="1"/>
    <col min="8390" max="8390" width="8.6640625" style="1" customWidth="1"/>
    <col min="8391" max="8391" width="6.88671875" style="1" customWidth="1"/>
    <col min="8392" max="8636" width="9.109375" style="1" customWidth="1"/>
    <col min="8637" max="8637" width="3.6640625" style="1"/>
    <col min="8638" max="8638" width="4.5546875" style="1" customWidth="1"/>
    <col min="8639" max="8639" width="5.88671875" style="1" customWidth="1"/>
    <col min="8640" max="8640" width="36" style="1" customWidth="1"/>
    <col min="8641" max="8641" width="9.6640625" style="1" customWidth="1"/>
    <col min="8642" max="8642" width="11.88671875" style="1" customWidth="1"/>
    <col min="8643" max="8643" width="9" style="1" customWidth="1"/>
    <col min="8644" max="8644" width="9.6640625" style="1" customWidth="1"/>
    <col min="8645" max="8645" width="9.33203125" style="1" customWidth="1"/>
    <col min="8646" max="8646" width="8.6640625" style="1" customWidth="1"/>
    <col min="8647" max="8647" width="6.88671875" style="1" customWidth="1"/>
    <col min="8648" max="8892" width="9.109375" style="1" customWidth="1"/>
    <col min="8893" max="8893" width="3.6640625" style="1"/>
    <col min="8894" max="8894" width="4.5546875" style="1" customWidth="1"/>
    <col min="8895" max="8895" width="5.88671875" style="1" customWidth="1"/>
    <col min="8896" max="8896" width="36" style="1" customWidth="1"/>
    <col min="8897" max="8897" width="9.6640625" style="1" customWidth="1"/>
    <col min="8898" max="8898" width="11.88671875" style="1" customWidth="1"/>
    <col min="8899" max="8899" width="9" style="1" customWidth="1"/>
    <col min="8900" max="8900" width="9.6640625" style="1" customWidth="1"/>
    <col min="8901" max="8901" width="9.33203125" style="1" customWidth="1"/>
    <col min="8902" max="8902" width="8.6640625" style="1" customWidth="1"/>
    <col min="8903" max="8903" width="6.88671875" style="1" customWidth="1"/>
    <col min="8904" max="9148" width="9.109375" style="1" customWidth="1"/>
    <col min="9149" max="9149" width="3.6640625" style="1"/>
    <col min="9150" max="9150" width="4.5546875" style="1" customWidth="1"/>
    <col min="9151" max="9151" width="5.88671875" style="1" customWidth="1"/>
    <col min="9152" max="9152" width="36" style="1" customWidth="1"/>
    <col min="9153" max="9153" width="9.6640625" style="1" customWidth="1"/>
    <col min="9154" max="9154" width="11.88671875" style="1" customWidth="1"/>
    <col min="9155" max="9155" width="9" style="1" customWidth="1"/>
    <col min="9156" max="9156" width="9.6640625" style="1" customWidth="1"/>
    <col min="9157" max="9157" width="9.33203125" style="1" customWidth="1"/>
    <col min="9158" max="9158" width="8.6640625" style="1" customWidth="1"/>
    <col min="9159" max="9159" width="6.88671875" style="1" customWidth="1"/>
    <col min="9160" max="9404" width="9.109375" style="1" customWidth="1"/>
    <col min="9405" max="9405" width="3.6640625" style="1"/>
    <col min="9406" max="9406" width="4.5546875" style="1" customWidth="1"/>
    <col min="9407" max="9407" width="5.88671875" style="1" customWidth="1"/>
    <col min="9408" max="9408" width="36" style="1" customWidth="1"/>
    <col min="9409" max="9409" width="9.6640625" style="1" customWidth="1"/>
    <col min="9410" max="9410" width="11.88671875" style="1" customWidth="1"/>
    <col min="9411" max="9411" width="9" style="1" customWidth="1"/>
    <col min="9412" max="9412" width="9.6640625" style="1" customWidth="1"/>
    <col min="9413" max="9413" width="9.33203125" style="1" customWidth="1"/>
    <col min="9414" max="9414" width="8.6640625" style="1" customWidth="1"/>
    <col min="9415" max="9415" width="6.88671875" style="1" customWidth="1"/>
    <col min="9416" max="9660" width="9.109375" style="1" customWidth="1"/>
    <col min="9661" max="9661" width="3.6640625" style="1"/>
    <col min="9662" max="9662" width="4.5546875" style="1" customWidth="1"/>
    <col min="9663" max="9663" width="5.88671875" style="1" customWidth="1"/>
    <col min="9664" max="9664" width="36" style="1" customWidth="1"/>
    <col min="9665" max="9665" width="9.6640625" style="1" customWidth="1"/>
    <col min="9666" max="9666" width="11.88671875" style="1" customWidth="1"/>
    <col min="9667" max="9667" width="9" style="1" customWidth="1"/>
    <col min="9668" max="9668" width="9.6640625" style="1" customWidth="1"/>
    <col min="9669" max="9669" width="9.33203125" style="1" customWidth="1"/>
    <col min="9670" max="9670" width="8.6640625" style="1" customWidth="1"/>
    <col min="9671" max="9671" width="6.88671875" style="1" customWidth="1"/>
    <col min="9672" max="9916" width="9.109375" style="1" customWidth="1"/>
    <col min="9917" max="9917" width="3.6640625" style="1"/>
    <col min="9918" max="9918" width="4.5546875" style="1" customWidth="1"/>
    <col min="9919" max="9919" width="5.88671875" style="1" customWidth="1"/>
    <col min="9920" max="9920" width="36" style="1" customWidth="1"/>
    <col min="9921" max="9921" width="9.6640625" style="1" customWidth="1"/>
    <col min="9922" max="9922" width="11.88671875" style="1" customWidth="1"/>
    <col min="9923" max="9923" width="9" style="1" customWidth="1"/>
    <col min="9924" max="9924" width="9.6640625" style="1" customWidth="1"/>
    <col min="9925" max="9925" width="9.33203125" style="1" customWidth="1"/>
    <col min="9926" max="9926" width="8.6640625" style="1" customWidth="1"/>
    <col min="9927" max="9927" width="6.88671875" style="1" customWidth="1"/>
    <col min="9928" max="10172" width="9.109375" style="1" customWidth="1"/>
    <col min="10173" max="10173" width="3.6640625" style="1"/>
    <col min="10174" max="10174" width="4.5546875" style="1" customWidth="1"/>
    <col min="10175" max="10175" width="5.88671875" style="1" customWidth="1"/>
    <col min="10176" max="10176" width="36" style="1" customWidth="1"/>
    <col min="10177" max="10177" width="9.6640625" style="1" customWidth="1"/>
    <col min="10178" max="10178" width="11.88671875" style="1" customWidth="1"/>
    <col min="10179" max="10179" width="9" style="1" customWidth="1"/>
    <col min="10180" max="10180" width="9.6640625" style="1" customWidth="1"/>
    <col min="10181" max="10181" width="9.33203125" style="1" customWidth="1"/>
    <col min="10182" max="10182" width="8.6640625" style="1" customWidth="1"/>
    <col min="10183" max="10183" width="6.88671875" style="1" customWidth="1"/>
    <col min="10184" max="10428" width="9.109375" style="1" customWidth="1"/>
    <col min="10429" max="10429" width="3.6640625" style="1"/>
    <col min="10430" max="10430" width="4.5546875" style="1" customWidth="1"/>
    <col min="10431" max="10431" width="5.88671875" style="1" customWidth="1"/>
    <col min="10432" max="10432" width="36" style="1" customWidth="1"/>
    <col min="10433" max="10433" width="9.6640625" style="1" customWidth="1"/>
    <col min="10434" max="10434" width="11.88671875" style="1" customWidth="1"/>
    <col min="10435" max="10435" width="9" style="1" customWidth="1"/>
    <col min="10436" max="10436" width="9.6640625" style="1" customWidth="1"/>
    <col min="10437" max="10437" width="9.33203125" style="1" customWidth="1"/>
    <col min="10438" max="10438" width="8.6640625" style="1" customWidth="1"/>
    <col min="10439" max="10439" width="6.88671875" style="1" customWidth="1"/>
    <col min="10440" max="10684" width="9.109375" style="1" customWidth="1"/>
    <col min="10685" max="10685" width="3.6640625" style="1"/>
    <col min="10686" max="10686" width="4.5546875" style="1" customWidth="1"/>
    <col min="10687" max="10687" width="5.88671875" style="1" customWidth="1"/>
    <col min="10688" max="10688" width="36" style="1" customWidth="1"/>
    <col min="10689" max="10689" width="9.6640625" style="1" customWidth="1"/>
    <col min="10690" max="10690" width="11.88671875" style="1" customWidth="1"/>
    <col min="10691" max="10691" width="9" style="1" customWidth="1"/>
    <col min="10692" max="10692" width="9.6640625" style="1" customWidth="1"/>
    <col min="10693" max="10693" width="9.33203125" style="1" customWidth="1"/>
    <col min="10694" max="10694" width="8.6640625" style="1" customWidth="1"/>
    <col min="10695" max="10695" width="6.88671875" style="1" customWidth="1"/>
    <col min="10696" max="10940" width="9.109375" style="1" customWidth="1"/>
    <col min="10941" max="10941" width="3.6640625" style="1"/>
    <col min="10942" max="10942" width="4.5546875" style="1" customWidth="1"/>
    <col min="10943" max="10943" width="5.88671875" style="1" customWidth="1"/>
    <col min="10944" max="10944" width="36" style="1" customWidth="1"/>
    <col min="10945" max="10945" width="9.6640625" style="1" customWidth="1"/>
    <col min="10946" max="10946" width="11.88671875" style="1" customWidth="1"/>
    <col min="10947" max="10947" width="9" style="1" customWidth="1"/>
    <col min="10948" max="10948" width="9.6640625" style="1" customWidth="1"/>
    <col min="10949" max="10949" width="9.33203125" style="1" customWidth="1"/>
    <col min="10950" max="10950" width="8.6640625" style="1" customWidth="1"/>
    <col min="10951" max="10951" width="6.88671875" style="1" customWidth="1"/>
    <col min="10952" max="11196" width="9.109375" style="1" customWidth="1"/>
    <col min="11197" max="11197" width="3.6640625" style="1"/>
    <col min="11198" max="11198" width="4.5546875" style="1" customWidth="1"/>
    <col min="11199" max="11199" width="5.88671875" style="1" customWidth="1"/>
    <col min="11200" max="11200" width="36" style="1" customWidth="1"/>
    <col min="11201" max="11201" width="9.6640625" style="1" customWidth="1"/>
    <col min="11202" max="11202" width="11.88671875" style="1" customWidth="1"/>
    <col min="11203" max="11203" width="9" style="1" customWidth="1"/>
    <col min="11204" max="11204" width="9.6640625" style="1" customWidth="1"/>
    <col min="11205" max="11205" width="9.33203125" style="1" customWidth="1"/>
    <col min="11206" max="11206" width="8.6640625" style="1" customWidth="1"/>
    <col min="11207" max="11207" width="6.88671875" style="1" customWidth="1"/>
    <col min="11208" max="11452" width="9.109375" style="1" customWidth="1"/>
    <col min="11453" max="11453" width="3.6640625" style="1"/>
    <col min="11454" max="11454" width="4.5546875" style="1" customWidth="1"/>
    <col min="11455" max="11455" width="5.88671875" style="1" customWidth="1"/>
    <col min="11456" max="11456" width="36" style="1" customWidth="1"/>
    <col min="11457" max="11457" width="9.6640625" style="1" customWidth="1"/>
    <col min="11458" max="11458" width="11.88671875" style="1" customWidth="1"/>
    <col min="11459" max="11459" width="9" style="1" customWidth="1"/>
    <col min="11460" max="11460" width="9.6640625" style="1" customWidth="1"/>
    <col min="11461" max="11461" width="9.33203125" style="1" customWidth="1"/>
    <col min="11462" max="11462" width="8.6640625" style="1" customWidth="1"/>
    <col min="11463" max="11463" width="6.88671875" style="1" customWidth="1"/>
    <col min="11464" max="11708" width="9.109375" style="1" customWidth="1"/>
    <col min="11709" max="11709" width="3.6640625" style="1"/>
    <col min="11710" max="11710" width="4.5546875" style="1" customWidth="1"/>
    <col min="11711" max="11711" width="5.88671875" style="1" customWidth="1"/>
    <col min="11712" max="11712" width="36" style="1" customWidth="1"/>
    <col min="11713" max="11713" width="9.6640625" style="1" customWidth="1"/>
    <col min="11714" max="11714" width="11.88671875" style="1" customWidth="1"/>
    <col min="11715" max="11715" width="9" style="1" customWidth="1"/>
    <col min="11716" max="11716" width="9.6640625" style="1" customWidth="1"/>
    <col min="11717" max="11717" width="9.33203125" style="1" customWidth="1"/>
    <col min="11718" max="11718" width="8.6640625" style="1" customWidth="1"/>
    <col min="11719" max="11719" width="6.88671875" style="1" customWidth="1"/>
    <col min="11720" max="11964" width="9.109375" style="1" customWidth="1"/>
    <col min="11965" max="11965" width="3.6640625" style="1"/>
    <col min="11966" max="11966" width="4.5546875" style="1" customWidth="1"/>
    <col min="11967" max="11967" width="5.88671875" style="1" customWidth="1"/>
    <col min="11968" max="11968" width="36" style="1" customWidth="1"/>
    <col min="11969" max="11969" width="9.6640625" style="1" customWidth="1"/>
    <col min="11970" max="11970" width="11.88671875" style="1" customWidth="1"/>
    <col min="11971" max="11971" width="9" style="1" customWidth="1"/>
    <col min="11972" max="11972" width="9.6640625" style="1" customWidth="1"/>
    <col min="11973" max="11973" width="9.33203125" style="1" customWidth="1"/>
    <col min="11974" max="11974" width="8.6640625" style="1" customWidth="1"/>
    <col min="11975" max="11975" width="6.88671875" style="1" customWidth="1"/>
    <col min="11976" max="12220" width="9.109375" style="1" customWidth="1"/>
    <col min="12221" max="12221" width="3.6640625" style="1"/>
    <col min="12222" max="12222" width="4.5546875" style="1" customWidth="1"/>
    <col min="12223" max="12223" width="5.88671875" style="1" customWidth="1"/>
    <col min="12224" max="12224" width="36" style="1" customWidth="1"/>
    <col min="12225" max="12225" width="9.6640625" style="1" customWidth="1"/>
    <col min="12226" max="12226" width="11.88671875" style="1" customWidth="1"/>
    <col min="12227" max="12227" width="9" style="1" customWidth="1"/>
    <col min="12228" max="12228" width="9.6640625" style="1" customWidth="1"/>
    <col min="12229" max="12229" width="9.33203125" style="1" customWidth="1"/>
    <col min="12230" max="12230" width="8.6640625" style="1" customWidth="1"/>
    <col min="12231" max="12231" width="6.88671875" style="1" customWidth="1"/>
    <col min="12232" max="12476" width="9.109375" style="1" customWidth="1"/>
    <col min="12477" max="12477" width="3.6640625" style="1"/>
    <col min="12478" max="12478" width="4.5546875" style="1" customWidth="1"/>
    <col min="12479" max="12479" width="5.88671875" style="1" customWidth="1"/>
    <col min="12480" max="12480" width="36" style="1" customWidth="1"/>
    <col min="12481" max="12481" width="9.6640625" style="1" customWidth="1"/>
    <col min="12482" max="12482" width="11.88671875" style="1" customWidth="1"/>
    <col min="12483" max="12483" width="9" style="1" customWidth="1"/>
    <col min="12484" max="12484" width="9.6640625" style="1" customWidth="1"/>
    <col min="12485" max="12485" width="9.33203125" style="1" customWidth="1"/>
    <col min="12486" max="12486" width="8.6640625" style="1" customWidth="1"/>
    <col min="12487" max="12487" width="6.88671875" style="1" customWidth="1"/>
    <col min="12488" max="12732" width="9.109375" style="1" customWidth="1"/>
    <col min="12733" max="12733" width="3.6640625" style="1"/>
    <col min="12734" max="12734" width="4.5546875" style="1" customWidth="1"/>
    <col min="12735" max="12735" width="5.88671875" style="1" customWidth="1"/>
    <col min="12736" max="12736" width="36" style="1" customWidth="1"/>
    <col min="12737" max="12737" width="9.6640625" style="1" customWidth="1"/>
    <col min="12738" max="12738" width="11.88671875" style="1" customWidth="1"/>
    <col min="12739" max="12739" width="9" style="1" customWidth="1"/>
    <col min="12740" max="12740" width="9.6640625" style="1" customWidth="1"/>
    <col min="12741" max="12741" width="9.33203125" style="1" customWidth="1"/>
    <col min="12742" max="12742" width="8.6640625" style="1" customWidth="1"/>
    <col min="12743" max="12743" width="6.88671875" style="1" customWidth="1"/>
    <col min="12744" max="12988" width="9.109375" style="1" customWidth="1"/>
    <col min="12989" max="12989" width="3.6640625" style="1"/>
    <col min="12990" max="12990" width="4.5546875" style="1" customWidth="1"/>
    <col min="12991" max="12991" width="5.88671875" style="1" customWidth="1"/>
    <col min="12992" max="12992" width="36" style="1" customWidth="1"/>
    <col min="12993" max="12993" width="9.6640625" style="1" customWidth="1"/>
    <col min="12994" max="12994" width="11.88671875" style="1" customWidth="1"/>
    <col min="12995" max="12995" width="9" style="1" customWidth="1"/>
    <col min="12996" max="12996" width="9.6640625" style="1" customWidth="1"/>
    <col min="12997" max="12997" width="9.33203125" style="1" customWidth="1"/>
    <col min="12998" max="12998" width="8.6640625" style="1" customWidth="1"/>
    <col min="12999" max="12999" width="6.88671875" style="1" customWidth="1"/>
    <col min="13000" max="13244" width="9.109375" style="1" customWidth="1"/>
    <col min="13245" max="13245" width="3.6640625" style="1"/>
    <col min="13246" max="13246" width="4.5546875" style="1" customWidth="1"/>
    <col min="13247" max="13247" width="5.88671875" style="1" customWidth="1"/>
    <col min="13248" max="13248" width="36" style="1" customWidth="1"/>
    <col min="13249" max="13249" width="9.6640625" style="1" customWidth="1"/>
    <col min="13250" max="13250" width="11.88671875" style="1" customWidth="1"/>
    <col min="13251" max="13251" width="9" style="1" customWidth="1"/>
    <col min="13252" max="13252" width="9.6640625" style="1" customWidth="1"/>
    <col min="13253" max="13253" width="9.33203125" style="1" customWidth="1"/>
    <col min="13254" max="13254" width="8.6640625" style="1" customWidth="1"/>
    <col min="13255" max="13255" width="6.88671875" style="1" customWidth="1"/>
    <col min="13256" max="13500" width="9.109375" style="1" customWidth="1"/>
    <col min="13501" max="13501" width="3.6640625" style="1"/>
    <col min="13502" max="13502" width="4.5546875" style="1" customWidth="1"/>
    <col min="13503" max="13503" width="5.88671875" style="1" customWidth="1"/>
    <col min="13504" max="13504" width="36" style="1" customWidth="1"/>
    <col min="13505" max="13505" width="9.6640625" style="1" customWidth="1"/>
    <col min="13506" max="13506" width="11.88671875" style="1" customWidth="1"/>
    <col min="13507" max="13507" width="9" style="1" customWidth="1"/>
    <col min="13508" max="13508" width="9.6640625" style="1" customWidth="1"/>
    <col min="13509" max="13509" width="9.33203125" style="1" customWidth="1"/>
    <col min="13510" max="13510" width="8.6640625" style="1" customWidth="1"/>
    <col min="13511" max="13511" width="6.88671875" style="1" customWidth="1"/>
    <col min="13512" max="13756" width="9.109375" style="1" customWidth="1"/>
    <col min="13757" max="13757" width="3.6640625" style="1"/>
    <col min="13758" max="13758" width="4.5546875" style="1" customWidth="1"/>
    <col min="13759" max="13759" width="5.88671875" style="1" customWidth="1"/>
    <col min="13760" max="13760" width="36" style="1" customWidth="1"/>
    <col min="13761" max="13761" width="9.6640625" style="1" customWidth="1"/>
    <col min="13762" max="13762" width="11.88671875" style="1" customWidth="1"/>
    <col min="13763" max="13763" width="9" style="1" customWidth="1"/>
    <col min="13764" max="13764" width="9.6640625" style="1" customWidth="1"/>
    <col min="13765" max="13765" width="9.33203125" style="1" customWidth="1"/>
    <col min="13766" max="13766" width="8.6640625" style="1" customWidth="1"/>
    <col min="13767" max="13767" width="6.88671875" style="1" customWidth="1"/>
    <col min="13768" max="14012" width="9.109375" style="1" customWidth="1"/>
    <col min="14013" max="14013" width="3.6640625" style="1"/>
    <col min="14014" max="14014" width="4.5546875" style="1" customWidth="1"/>
    <col min="14015" max="14015" width="5.88671875" style="1" customWidth="1"/>
    <col min="14016" max="14016" width="36" style="1" customWidth="1"/>
    <col min="14017" max="14017" width="9.6640625" style="1" customWidth="1"/>
    <col min="14018" max="14018" width="11.88671875" style="1" customWidth="1"/>
    <col min="14019" max="14019" width="9" style="1" customWidth="1"/>
    <col min="14020" max="14020" width="9.6640625" style="1" customWidth="1"/>
    <col min="14021" max="14021" width="9.33203125" style="1" customWidth="1"/>
    <col min="14022" max="14022" width="8.6640625" style="1" customWidth="1"/>
    <col min="14023" max="14023" width="6.88671875" style="1" customWidth="1"/>
    <col min="14024" max="14268" width="9.109375" style="1" customWidth="1"/>
    <col min="14269" max="14269" width="3.6640625" style="1"/>
    <col min="14270" max="14270" width="4.5546875" style="1" customWidth="1"/>
    <col min="14271" max="14271" width="5.88671875" style="1" customWidth="1"/>
    <col min="14272" max="14272" width="36" style="1" customWidth="1"/>
    <col min="14273" max="14273" width="9.6640625" style="1" customWidth="1"/>
    <col min="14274" max="14274" width="11.88671875" style="1" customWidth="1"/>
    <col min="14275" max="14275" width="9" style="1" customWidth="1"/>
    <col min="14276" max="14276" width="9.6640625" style="1" customWidth="1"/>
    <col min="14277" max="14277" width="9.33203125" style="1" customWidth="1"/>
    <col min="14278" max="14278" width="8.6640625" style="1" customWidth="1"/>
    <col min="14279" max="14279" width="6.88671875" style="1" customWidth="1"/>
    <col min="14280" max="14524" width="9.109375" style="1" customWidth="1"/>
    <col min="14525" max="14525" width="3.6640625" style="1"/>
    <col min="14526" max="14526" width="4.5546875" style="1" customWidth="1"/>
    <col min="14527" max="14527" width="5.88671875" style="1" customWidth="1"/>
    <col min="14528" max="14528" width="36" style="1" customWidth="1"/>
    <col min="14529" max="14529" width="9.6640625" style="1" customWidth="1"/>
    <col min="14530" max="14530" width="11.88671875" style="1" customWidth="1"/>
    <col min="14531" max="14531" width="9" style="1" customWidth="1"/>
    <col min="14532" max="14532" width="9.6640625" style="1" customWidth="1"/>
    <col min="14533" max="14533" width="9.33203125" style="1" customWidth="1"/>
    <col min="14534" max="14534" width="8.6640625" style="1" customWidth="1"/>
    <col min="14535" max="14535" width="6.88671875" style="1" customWidth="1"/>
    <col min="14536" max="14780" width="9.109375" style="1" customWidth="1"/>
    <col min="14781" max="14781" width="3.6640625" style="1"/>
    <col min="14782" max="14782" width="4.5546875" style="1" customWidth="1"/>
    <col min="14783" max="14783" width="5.88671875" style="1" customWidth="1"/>
    <col min="14784" max="14784" width="36" style="1" customWidth="1"/>
    <col min="14785" max="14785" width="9.6640625" style="1" customWidth="1"/>
    <col min="14786" max="14786" width="11.88671875" style="1" customWidth="1"/>
    <col min="14787" max="14787" width="9" style="1" customWidth="1"/>
    <col min="14788" max="14788" width="9.6640625" style="1" customWidth="1"/>
    <col min="14789" max="14789" width="9.33203125" style="1" customWidth="1"/>
    <col min="14790" max="14790" width="8.6640625" style="1" customWidth="1"/>
    <col min="14791" max="14791" width="6.88671875" style="1" customWidth="1"/>
    <col min="14792" max="15036" width="9.109375" style="1" customWidth="1"/>
    <col min="15037" max="15037" width="3.6640625" style="1"/>
    <col min="15038" max="15038" width="4.5546875" style="1" customWidth="1"/>
    <col min="15039" max="15039" width="5.88671875" style="1" customWidth="1"/>
    <col min="15040" max="15040" width="36" style="1" customWidth="1"/>
    <col min="15041" max="15041" width="9.6640625" style="1" customWidth="1"/>
    <col min="15042" max="15042" width="11.88671875" style="1" customWidth="1"/>
    <col min="15043" max="15043" width="9" style="1" customWidth="1"/>
    <col min="15044" max="15044" width="9.6640625" style="1" customWidth="1"/>
    <col min="15045" max="15045" width="9.33203125" style="1" customWidth="1"/>
    <col min="15046" max="15046" width="8.6640625" style="1" customWidth="1"/>
    <col min="15047" max="15047" width="6.88671875" style="1" customWidth="1"/>
    <col min="15048" max="15292" width="9.109375" style="1" customWidth="1"/>
    <col min="15293" max="15293" width="3.6640625" style="1"/>
    <col min="15294" max="15294" width="4.5546875" style="1" customWidth="1"/>
    <col min="15295" max="15295" width="5.88671875" style="1" customWidth="1"/>
    <col min="15296" max="15296" width="36" style="1" customWidth="1"/>
    <col min="15297" max="15297" width="9.6640625" style="1" customWidth="1"/>
    <col min="15298" max="15298" width="11.88671875" style="1" customWidth="1"/>
    <col min="15299" max="15299" width="9" style="1" customWidth="1"/>
    <col min="15300" max="15300" width="9.6640625" style="1" customWidth="1"/>
    <col min="15301" max="15301" width="9.33203125" style="1" customWidth="1"/>
    <col min="15302" max="15302" width="8.6640625" style="1" customWidth="1"/>
    <col min="15303" max="15303" width="6.88671875" style="1" customWidth="1"/>
    <col min="15304" max="15548" width="9.109375" style="1" customWidth="1"/>
    <col min="15549" max="15549" width="3.6640625" style="1"/>
    <col min="15550" max="15550" width="4.5546875" style="1" customWidth="1"/>
    <col min="15551" max="15551" width="5.88671875" style="1" customWidth="1"/>
    <col min="15552" max="15552" width="36" style="1" customWidth="1"/>
    <col min="15553" max="15553" width="9.6640625" style="1" customWidth="1"/>
    <col min="15554" max="15554" width="11.88671875" style="1" customWidth="1"/>
    <col min="15555" max="15555" width="9" style="1" customWidth="1"/>
    <col min="15556" max="15556" width="9.6640625" style="1" customWidth="1"/>
    <col min="15557" max="15557" width="9.33203125" style="1" customWidth="1"/>
    <col min="15558" max="15558" width="8.6640625" style="1" customWidth="1"/>
    <col min="15559" max="15559" width="6.88671875" style="1" customWidth="1"/>
    <col min="15560" max="15804" width="9.109375" style="1" customWidth="1"/>
    <col min="15805" max="15805" width="3.6640625" style="1"/>
    <col min="15806" max="15806" width="4.5546875" style="1" customWidth="1"/>
    <col min="15807" max="15807" width="5.88671875" style="1" customWidth="1"/>
    <col min="15808" max="15808" width="36" style="1" customWidth="1"/>
    <col min="15809" max="15809" width="9.6640625" style="1" customWidth="1"/>
    <col min="15810" max="15810" width="11.88671875" style="1" customWidth="1"/>
    <col min="15811" max="15811" width="9" style="1" customWidth="1"/>
    <col min="15812" max="15812" width="9.6640625" style="1" customWidth="1"/>
    <col min="15813" max="15813" width="9.33203125" style="1" customWidth="1"/>
    <col min="15814" max="15814" width="8.6640625" style="1" customWidth="1"/>
    <col min="15815" max="15815" width="6.88671875" style="1" customWidth="1"/>
    <col min="15816" max="16060" width="9.109375" style="1" customWidth="1"/>
    <col min="16061" max="16061" width="3.6640625" style="1"/>
    <col min="16062" max="16062" width="4.5546875" style="1" customWidth="1"/>
    <col min="16063" max="16063" width="5.88671875" style="1" customWidth="1"/>
    <col min="16064" max="16064" width="36" style="1" customWidth="1"/>
    <col min="16065" max="16065" width="9.6640625" style="1" customWidth="1"/>
    <col min="16066" max="16066" width="11.88671875" style="1" customWidth="1"/>
    <col min="16067" max="16067" width="9" style="1" customWidth="1"/>
    <col min="16068" max="16068" width="9.6640625" style="1" customWidth="1"/>
    <col min="16069" max="16069" width="9.33203125" style="1" customWidth="1"/>
    <col min="16070" max="16070" width="8.6640625" style="1" customWidth="1"/>
    <col min="16071" max="16071" width="6.88671875" style="1" customWidth="1"/>
    <col min="16072" max="16316" width="9.109375" style="1" customWidth="1"/>
    <col min="16317" max="16384" width="3.6640625" style="1"/>
  </cols>
  <sheetData>
    <row r="1" spans="1:9" x14ac:dyDescent="0.2">
      <c r="C1" s="210"/>
      <c r="G1" s="218"/>
      <c r="H1" s="218"/>
      <c r="I1" s="218"/>
    </row>
    <row r="2" spans="1:9" x14ac:dyDescent="0.2">
      <c r="A2" s="224" t="s">
        <v>22</v>
      </c>
      <c r="B2" s="224"/>
      <c r="C2" s="224"/>
      <c r="D2" s="224"/>
      <c r="E2" s="224"/>
      <c r="F2" s="224"/>
      <c r="G2" s="224"/>
      <c r="H2" s="224"/>
      <c r="I2" s="224"/>
    </row>
    <row r="3" spans="1:9" x14ac:dyDescent="0.2">
      <c r="A3" s="212"/>
      <c r="B3" s="212"/>
      <c r="C3" s="212"/>
      <c r="D3" s="212"/>
      <c r="E3" s="212"/>
      <c r="F3" s="212"/>
      <c r="G3" s="212"/>
      <c r="H3" s="212"/>
      <c r="I3" s="212"/>
    </row>
    <row r="4" spans="1:9" x14ac:dyDescent="0.2">
      <c r="A4" s="212"/>
      <c r="B4" s="212"/>
      <c r="C4" s="225" t="s">
        <v>23</v>
      </c>
      <c r="D4" s="225"/>
      <c r="E4" s="225"/>
      <c r="F4" s="225"/>
      <c r="G4" s="225"/>
      <c r="H4" s="225"/>
      <c r="I4" s="225"/>
    </row>
    <row r="5" spans="1:9" ht="11.25" customHeight="1" x14ac:dyDescent="0.2">
      <c r="A5" s="69"/>
      <c r="B5" s="69"/>
      <c r="C5" s="227" t="s">
        <v>5</v>
      </c>
      <c r="D5" s="227"/>
      <c r="E5" s="227"/>
      <c r="F5" s="227"/>
      <c r="G5" s="227"/>
      <c r="H5" s="227"/>
      <c r="I5" s="227"/>
    </row>
    <row r="6" spans="1:9" x14ac:dyDescent="0.2">
      <c r="A6" s="222" t="s">
        <v>24</v>
      </c>
      <c r="B6" s="222"/>
      <c r="C6" s="222"/>
      <c r="D6" s="226" t="str">
        <f>'Kopt a'!B13</f>
        <v>DAUDZDZĪVOKĻU DZĪVOJAMĀ ĒKA</v>
      </c>
      <c r="E6" s="226"/>
      <c r="F6" s="226"/>
      <c r="G6" s="226"/>
      <c r="H6" s="226"/>
      <c r="I6" s="226"/>
    </row>
    <row r="7" spans="1:9" x14ac:dyDescent="0.2">
      <c r="A7" s="222" t="s">
        <v>8</v>
      </c>
      <c r="B7" s="222"/>
      <c r="C7" s="222"/>
      <c r="D7" s="223" t="str">
        <f>'Kopt a'!B14</f>
        <v>ENERGOEFEKTIVITĀTES PAAUGSTINĀŠANA DAUDZDZĪVOKĻU DZĪVOJAMAI ĒKAI</v>
      </c>
      <c r="E7" s="223"/>
      <c r="F7" s="223"/>
      <c r="G7" s="223"/>
      <c r="H7" s="223"/>
      <c r="I7" s="223"/>
    </row>
    <row r="8" spans="1:9" x14ac:dyDescent="0.2">
      <c r="A8" s="232" t="s">
        <v>25</v>
      </c>
      <c r="B8" s="232"/>
      <c r="C8" s="232"/>
      <c r="D8" s="223" t="str">
        <f>'Kopt a'!B15</f>
        <v>Mātera iela 23/25, Jelgava, ēkas kad. apz. 0900 001 0126 001</v>
      </c>
      <c r="E8" s="223"/>
      <c r="F8" s="223"/>
      <c r="G8" s="223"/>
      <c r="H8" s="223"/>
      <c r="I8" s="223"/>
    </row>
    <row r="9" spans="1:9" x14ac:dyDescent="0.2">
      <c r="A9" s="232" t="s">
        <v>26</v>
      </c>
      <c r="B9" s="232"/>
      <c r="C9" s="232"/>
      <c r="D9" s="223">
        <f>'Kopt a'!B16</f>
        <v>0</v>
      </c>
      <c r="E9" s="223"/>
      <c r="F9" s="223"/>
      <c r="G9" s="223"/>
      <c r="H9" s="223"/>
      <c r="I9" s="223"/>
    </row>
    <row r="10" spans="1:9" x14ac:dyDescent="0.2">
      <c r="C10" s="210" t="s">
        <v>27</v>
      </c>
      <c r="D10" s="233">
        <f>E32</f>
        <v>0</v>
      </c>
      <c r="E10" s="233"/>
      <c r="F10" s="63"/>
      <c r="G10" s="63"/>
      <c r="H10" s="63"/>
      <c r="I10" s="63"/>
    </row>
    <row r="11" spans="1:9" x14ac:dyDescent="0.2">
      <c r="C11" s="210" t="s">
        <v>28</v>
      </c>
      <c r="D11" s="233">
        <f>I28</f>
        <v>0</v>
      </c>
      <c r="E11" s="233"/>
      <c r="F11" s="63"/>
      <c r="G11" s="63"/>
      <c r="H11" s="63"/>
      <c r="I11" s="63"/>
    </row>
    <row r="12" spans="1:9" ht="10.8" thickBot="1" x14ac:dyDescent="0.25">
      <c r="F12" s="213"/>
      <c r="G12" s="213"/>
      <c r="H12" s="213"/>
      <c r="I12" s="213"/>
    </row>
    <row r="13" spans="1:9" x14ac:dyDescent="0.2">
      <c r="A13" s="236" t="s">
        <v>29</v>
      </c>
      <c r="B13" s="238" t="s">
        <v>30</v>
      </c>
      <c r="C13" s="240" t="s">
        <v>31</v>
      </c>
      <c r="D13" s="241"/>
      <c r="E13" s="234" t="s">
        <v>32</v>
      </c>
      <c r="F13" s="228" t="s">
        <v>33</v>
      </c>
      <c r="G13" s="229"/>
      <c r="H13" s="229"/>
      <c r="I13" s="230" t="s">
        <v>34</v>
      </c>
    </row>
    <row r="14" spans="1:9" ht="21" thickBot="1" x14ac:dyDescent="0.25">
      <c r="A14" s="237"/>
      <c r="B14" s="239"/>
      <c r="C14" s="242"/>
      <c r="D14" s="243"/>
      <c r="E14" s="235"/>
      <c r="F14" s="15" t="s">
        <v>35</v>
      </c>
      <c r="G14" s="16" t="s">
        <v>36</v>
      </c>
      <c r="H14" s="16" t="s">
        <v>37</v>
      </c>
      <c r="I14" s="231"/>
    </row>
    <row r="15" spans="1:9" x14ac:dyDescent="0.2">
      <c r="A15" s="58">
        <f>IF(E15=0,0,IF(COUNTBLANK(E15)=1,0,COUNTA($E$15:E15)))</f>
        <v>0</v>
      </c>
      <c r="B15" s="20">
        <f>IF(A15=0,0,CONCATENATE("Lt-",A15))</f>
        <v>0</v>
      </c>
      <c r="C15" s="244" t="str">
        <f>'1a'!C2:I2</f>
        <v>BŪVLAUKUMA SAGATAVOŠANA UN UZTURĒŠANA</v>
      </c>
      <c r="D15" s="245"/>
      <c r="E15" s="48">
        <f>'1a'!P38</f>
        <v>0</v>
      </c>
      <c r="F15" s="43">
        <f>'1a'!M38</f>
        <v>0</v>
      </c>
      <c r="G15" s="44">
        <f>'1a'!N38</f>
        <v>0</v>
      </c>
      <c r="H15" s="44">
        <f>'1a'!O38</f>
        <v>0</v>
      </c>
      <c r="I15" s="45">
        <f>'1a'!L38</f>
        <v>0</v>
      </c>
    </row>
    <row r="16" spans="1:9" x14ac:dyDescent="0.2">
      <c r="A16" s="59">
        <f>IF(E16=0,0,IF(COUNTBLANK(E16)=1,0,COUNTA($E$15:E16)))</f>
        <v>0</v>
      </c>
      <c r="B16" s="21">
        <f>IF(A16=0,0,CONCATENATE("Lt-",A16))</f>
        <v>0</v>
      </c>
      <c r="C16" s="246" t="str">
        <f>'2a'!C2:I2</f>
        <v>DEMONTĀŽAS DARBI</v>
      </c>
      <c r="D16" s="247"/>
      <c r="E16" s="49">
        <f>'2a'!P94</f>
        <v>0</v>
      </c>
      <c r="F16" s="38">
        <f>'2a'!M94</f>
        <v>0</v>
      </c>
      <c r="G16" s="46">
        <f>'2a'!N94</f>
        <v>0</v>
      </c>
      <c r="H16" s="46">
        <f>'2a'!O94</f>
        <v>0</v>
      </c>
      <c r="I16" s="47">
        <f>'2a'!L94</f>
        <v>0</v>
      </c>
    </row>
    <row r="17" spans="1:9" x14ac:dyDescent="0.2">
      <c r="A17" s="59">
        <f>IF(E17=0,0,IF(COUNTBLANK(E17)=1,0,COUNTA($E$15:E17)))</f>
        <v>0</v>
      </c>
      <c r="B17" s="21">
        <f t="shared" ref="B17:B27" si="0">IF(A17=0,0,CONCATENATE("Lt-",A17))</f>
        <v>0</v>
      </c>
      <c r="C17" s="246" t="str">
        <f>'3a'!C2:I2</f>
        <v>PAGRABA STĀVA SILTINĀŠANAS DARBI</v>
      </c>
      <c r="D17" s="247"/>
      <c r="E17" s="50">
        <f>'3a'!P47</f>
        <v>0</v>
      </c>
      <c r="F17" s="38">
        <f>'3a'!M47</f>
        <v>0</v>
      </c>
      <c r="G17" s="46">
        <f>'3a'!N47</f>
        <v>0</v>
      </c>
      <c r="H17" s="46">
        <f>'3a'!O47</f>
        <v>0</v>
      </c>
      <c r="I17" s="47">
        <f>'3a'!L47</f>
        <v>0</v>
      </c>
    </row>
    <row r="18" spans="1:9" ht="11.25" customHeight="1" x14ac:dyDescent="0.2">
      <c r="A18" s="59">
        <f>IF(E18=0,0,IF(COUNTBLANK(E18)=1,0,COUNTA($E$15:E18)))</f>
        <v>0</v>
      </c>
      <c r="B18" s="21">
        <f t="shared" si="0"/>
        <v>0</v>
      </c>
      <c r="C18" s="246" t="str">
        <f>'4a'!C2:I2</f>
        <v>LOGI UN DURVIS</v>
      </c>
      <c r="D18" s="247"/>
      <c r="E18" s="50">
        <f>'4a'!P44</f>
        <v>0</v>
      </c>
      <c r="F18" s="38">
        <f>'4a'!M44</f>
        <v>0</v>
      </c>
      <c r="G18" s="46">
        <f>'4a'!N44</f>
        <v>0</v>
      </c>
      <c r="H18" s="46">
        <f>'4a'!O44</f>
        <v>0</v>
      </c>
      <c r="I18" s="47">
        <f>'4a'!L44</f>
        <v>0</v>
      </c>
    </row>
    <row r="19" spans="1:9" x14ac:dyDescent="0.2">
      <c r="A19" s="59">
        <f>IF(E19=0,0,IF(COUNTBLANK(E19)=1,0,COUNTA($E$15:E19)))</f>
        <v>0</v>
      </c>
      <c r="B19" s="21">
        <f t="shared" si="0"/>
        <v>0</v>
      </c>
      <c r="C19" s="246" t="str">
        <f>'5a'!C2:I2</f>
        <v>FASĀDES APDARE</v>
      </c>
      <c r="D19" s="247"/>
      <c r="E19" s="50">
        <f>'5a'!P260</f>
        <v>0</v>
      </c>
      <c r="F19" s="38">
        <f>'5a'!M260</f>
        <v>0</v>
      </c>
      <c r="G19" s="46">
        <f>'5a'!N260</f>
        <v>0</v>
      </c>
      <c r="H19" s="46">
        <f>'5a'!O260</f>
        <v>0</v>
      </c>
      <c r="I19" s="47">
        <f>'5a'!L260</f>
        <v>0</v>
      </c>
    </row>
    <row r="20" spans="1:9" x14ac:dyDescent="0.2">
      <c r="A20" s="59">
        <f>IF(E20=0,0,IF(COUNTBLANK(E20)=1,0,COUNTA($E$15:E20)))</f>
        <v>0</v>
      </c>
      <c r="B20" s="21">
        <f t="shared" si="0"/>
        <v>0</v>
      </c>
      <c r="C20" s="246" t="str">
        <f>'6a'!C2:I2</f>
        <v>COKOLA APDARE</v>
      </c>
      <c r="D20" s="247"/>
      <c r="E20" s="50">
        <f>'6a'!P106</f>
        <v>0</v>
      </c>
      <c r="F20" s="38">
        <f>'6a'!M106</f>
        <v>0</v>
      </c>
      <c r="G20" s="46">
        <f>'6a'!N106</f>
        <v>0</v>
      </c>
      <c r="H20" s="46">
        <f>'6a'!O106</f>
        <v>0</v>
      </c>
      <c r="I20" s="47">
        <f>'6a'!L106</f>
        <v>0</v>
      </c>
    </row>
    <row r="21" spans="1:9" x14ac:dyDescent="0.2">
      <c r="A21" s="59">
        <f>IF(E21=0,0,IF(COUNTBLANK(E21)=1,0,COUNTA($E$15:E21)))</f>
        <v>0</v>
      </c>
      <c r="B21" s="21">
        <f t="shared" si="0"/>
        <v>0</v>
      </c>
      <c r="C21" s="246" t="str">
        <f>'7a'!C2:I2</f>
        <v>JUMTA REMONTS</v>
      </c>
      <c r="D21" s="247"/>
      <c r="E21" s="50">
        <f>'7a'!P123</f>
        <v>0</v>
      </c>
      <c r="F21" s="38">
        <f>'7a'!M123</f>
        <v>0</v>
      </c>
      <c r="G21" s="46">
        <f>'7a'!N123</f>
        <v>0</v>
      </c>
      <c r="H21" s="46">
        <f>'7a'!O123</f>
        <v>0</v>
      </c>
      <c r="I21" s="47">
        <f>'7a'!L123</f>
        <v>0</v>
      </c>
    </row>
    <row r="22" spans="1:9" x14ac:dyDescent="0.2">
      <c r="A22" s="59">
        <f>IF(E22=0,0,IF(COUNTBLANK(E22)=1,0,COUNTA($E$15:E22)))</f>
        <v>0</v>
      </c>
      <c r="B22" s="21">
        <f t="shared" si="0"/>
        <v>0</v>
      </c>
      <c r="C22" s="248" t="str">
        <f>'8a'!C2:I2</f>
        <v>APDARES DARBI</v>
      </c>
      <c r="D22" s="249"/>
      <c r="E22" s="109">
        <f>'8a'!P58</f>
        <v>0</v>
      </c>
      <c r="F22" s="38">
        <f>'8a'!M58</f>
        <v>0</v>
      </c>
      <c r="G22" s="46">
        <f>'8a'!N58</f>
        <v>0</v>
      </c>
      <c r="H22" s="46">
        <f>'8a'!O58</f>
        <v>0</v>
      </c>
      <c r="I22" s="47">
        <f>'8a'!L58</f>
        <v>0</v>
      </c>
    </row>
    <row r="23" spans="1:9" x14ac:dyDescent="0.2">
      <c r="A23" s="59">
        <f>IF(E23=0,0,IF(COUNTBLANK(E23)=1,0,COUNTA($E$15:E23)))</f>
        <v>0</v>
      </c>
      <c r="B23" s="21">
        <f t="shared" ref="B23" si="1">IF(A23=0,0,CONCATENATE("Lt-",A23))</f>
        <v>0</v>
      </c>
      <c r="C23" s="246" t="str">
        <f>'9a'!C2:I2</f>
        <v>BĒNIŅU SILTINĀŠANA</v>
      </c>
      <c r="D23" s="247"/>
      <c r="E23" s="50">
        <f>'9a'!P49</f>
        <v>0</v>
      </c>
      <c r="F23" s="38">
        <f>'9a'!M49</f>
        <v>0</v>
      </c>
      <c r="G23" s="46">
        <f>'8a'!N49</f>
        <v>0</v>
      </c>
      <c r="H23" s="46">
        <f>'9a'!O49</f>
        <v>0</v>
      </c>
      <c r="I23" s="47">
        <f>'9a'!L49</f>
        <v>0</v>
      </c>
    </row>
    <row r="24" spans="1:9" x14ac:dyDescent="0.2">
      <c r="A24" s="59">
        <f>IF(E24=0,0,IF(COUNTBLANK(E24)=1,0,COUNTA($E$15:E24)))</f>
        <v>0</v>
      </c>
      <c r="B24" s="21">
        <f t="shared" si="0"/>
        <v>0</v>
      </c>
      <c r="C24" s="246" t="str">
        <f>'10a'!C2:I2</f>
        <v>LABIEKARTOŠANAS DARBI</v>
      </c>
      <c r="D24" s="247"/>
      <c r="E24" s="50">
        <f>'10a'!P34</f>
        <v>0</v>
      </c>
      <c r="F24" s="38">
        <f>'10a'!M34</f>
        <v>0</v>
      </c>
      <c r="G24" s="46">
        <f>'10a'!N34</f>
        <v>0</v>
      </c>
      <c r="H24" s="46">
        <f>'10a'!O34</f>
        <v>0</v>
      </c>
      <c r="I24" s="47">
        <f>'10a'!L34</f>
        <v>0</v>
      </c>
    </row>
    <row r="25" spans="1:9" x14ac:dyDescent="0.2">
      <c r="A25" s="59">
        <f>IF(E25=0,0,IF(COUNTBLANK(E25)=1,0,COUNTA($E$15:E25)))</f>
        <v>0</v>
      </c>
      <c r="B25" s="21">
        <f t="shared" si="0"/>
        <v>0</v>
      </c>
      <c r="C25" s="246" t="str">
        <f>'11a'!C2:I2</f>
        <v>APKURE</v>
      </c>
      <c r="D25" s="247"/>
      <c r="E25" s="50">
        <f>'11a'!P103</f>
        <v>0</v>
      </c>
      <c r="F25" s="38">
        <f>'11a'!M103</f>
        <v>0</v>
      </c>
      <c r="G25" s="46">
        <f>'11a'!N103</f>
        <v>0</v>
      </c>
      <c r="H25" s="46">
        <f>'11a'!O103</f>
        <v>0</v>
      </c>
      <c r="I25" s="47">
        <f>'11a'!L103</f>
        <v>0</v>
      </c>
    </row>
    <row r="26" spans="1:9" ht="11.25" customHeight="1" x14ac:dyDescent="0.2">
      <c r="A26" s="59">
        <f>IF(E26=0,0,IF(COUNTBLANK(E26)=1,0,COUNTA($E$15:E26)))</f>
        <v>0</v>
      </c>
      <c r="B26" s="21">
        <f t="shared" si="0"/>
        <v>0</v>
      </c>
      <c r="C26" s="246" t="str">
        <f>'12a'!C2:I2</f>
        <v>ŪDENSVADS UN KANALIZĀCIJA</v>
      </c>
      <c r="D26" s="247"/>
      <c r="E26" s="50">
        <f>'12a'!P99</f>
        <v>0</v>
      </c>
      <c r="F26" s="38">
        <f>'12a'!M99</f>
        <v>0</v>
      </c>
      <c r="G26" s="46">
        <f>'12a'!N99</f>
        <v>0</v>
      </c>
      <c r="H26" s="46">
        <f>'12a'!O99</f>
        <v>0</v>
      </c>
      <c r="I26" s="47">
        <f>'12a'!L99</f>
        <v>0</v>
      </c>
    </row>
    <row r="27" spans="1:9" ht="10.8" thickBot="1" x14ac:dyDescent="0.25">
      <c r="A27" s="59">
        <f>IF(E27=0,0,IF(COUNTBLANK(E27)=1,0,COUNTA($E$15:E27)))</f>
        <v>0</v>
      </c>
      <c r="B27" s="21">
        <f t="shared" si="0"/>
        <v>0</v>
      </c>
      <c r="C27" s="246" t="str">
        <f>'13a'!C2:I2</f>
        <v>ZIBENSAIZSARDZĪBA</v>
      </c>
      <c r="D27" s="247"/>
      <c r="E27" s="50">
        <f>'13a'!P42</f>
        <v>0</v>
      </c>
      <c r="F27" s="38">
        <f>'13a'!M42</f>
        <v>0</v>
      </c>
      <c r="G27" s="46">
        <f>'13a'!N42</f>
        <v>0</v>
      </c>
      <c r="H27" s="46">
        <f>'13a'!O42</f>
        <v>0</v>
      </c>
      <c r="I27" s="47">
        <f>'13a'!L42</f>
        <v>0</v>
      </c>
    </row>
    <row r="28" spans="1:9" ht="10.8" thickBot="1" x14ac:dyDescent="0.25">
      <c r="A28" s="250"/>
      <c r="B28" s="251"/>
      <c r="C28" s="251"/>
      <c r="D28" s="251"/>
      <c r="E28" s="33">
        <f>SUM(E15:E27)</f>
        <v>0</v>
      </c>
      <c r="F28" s="32">
        <f>SUM(F15:F27)</f>
        <v>0</v>
      </c>
      <c r="G28" s="32">
        <f>SUM(G15:G27)</f>
        <v>0</v>
      </c>
      <c r="H28" s="32">
        <f>SUM(H15:H27)</f>
        <v>0</v>
      </c>
      <c r="I28" s="33">
        <f>SUM(I15:I27)</f>
        <v>0</v>
      </c>
    </row>
    <row r="29" spans="1:9" x14ac:dyDescent="0.2">
      <c r="A29" s="252"/>
      <c r="B29" s="253"/>
      <c r="C29" s="254"/>
      <c r="D29" s="55"/>
      <c r="E29" s="34">
        <f>ROUND(E28*$D29,2)</f>
        <v>0</v>
      </c>
      <c r="F29" s="35"/>
      <c r="G29" s="35"/>
      <c r="H29" s="35"/>
      <c r="I29" s="35"/>
    </row>
    <row r="30" spans="1:9" x14ac:dyDescent="0.2">
      <c r="A30" s="255"/>
      <c r="B30" s="256"/>
      <c r="C30" s="257"/>
      <c r="D30" s="56"/>
      <c r="E30" s="36">
        <f>ROUND(E29*$D30,2)</f>
        <v>0</v>
      </c>
      <c r="F30" s="35"/>
      <c r="G30" s="35"/>
      <c r="H30" s="35"/>
      <c r="I30" s="35"/>
    </row>
    <row r="31" spans="1:9" x14ac:dyDescent="0.2">
      <c r="A31" s="258"/>
      <c r="B31" s="259"/>
      <c r="C31" s="260"/>
      <c r="D31" s="57"/>
      <c r="E31" s="36">
        <f>ROUND(E28*$D31,2)</f>
        <v>0</v>
      </c>
      <c r="F31" s="35"/>
      <c r="G31" s="35"/>
      <c r="H31" s="35"/>
      <c r="I31" s="35"/>
    </row>
    <row r="32" spans="1:9" ht="10.8" thickBot="1" x14ac:dyDescent="0.25">
      <c r="A32" s="261"/>
      <c r="B32" s="262"/>
      <c r="C32" s="263"/>
      <c r="D32" s="18"/>
      <c r="E32" s="37">
        <f>SUM(E28:E31)-E30</f>
        <v>0</v>
      </c>
      <c r="F32" s="35"/>
      <c r="G32" s="35"/>
      <c r="H32" s="35"/>
      <c r="I32" s="35"/>
    </row>
    <row r="33" spans="1:8" x14ac:dyDescent="0.2">
      <c r="G33" s="17"/>
    </row>
    <row r="35" spans="1:8" ht="11.25" customHeight="1" x14ac:dyDescent="0.2">
      <c r="A35" s="1" t="s">
        <v>18</v>
      </c>
      <c r="B35" s="14"/>
      <c r="C35" s="221"/>
      <c r="D35" s="221"/>
      <c r="E35" s="221"/>
      <c r="F35" s="221"/>
      <c r="G35" s="221"/>
      <c r="H35" s="221"/>
    </row>
    <row r="36" spans="1:8" x14ac:dyDescent="0.2">
      <c r="A36" s="14"/>
      <c r="B36" s="14"/>
      <c r="C36" s="216" t="s">
        <v>19</v>
      </c>
      <c r="D36" s="216"/>
      <c r="E36" s="216"/>
      <c r="F36" s="216"/>
      <c r="G36" s="216"/>
      <c r="H36" s="216"/>
    </row>
    <row r="37" spans="1:8" x14ac:dyDescent="0.2">
      <c r="A37" s="14"/>
      <c r="B37" s="14"/>
      <c r="C37" s="14"/>
      <c r="D37" s="14"/>
      <c r="E37" s="14"/>
      <c r="F37" s="14"/>
      <c r="G37" s="14"/>
      <c r="H37" s="14"/>
    </row>
    <row r="38" spans="1:8" x14ac:dyDescent="0.2">
      <c r="A38" s="70" t="str">
        <f>'Kopt a'!A36</f>
        <v>Tāme sastādīta</v>
      </c>
      <c r="B38" s="71"/>
      <c r="C38" s="71"/>
      <c r="D38" s="71"/>
      <c r="F38" s="14"/>
      <c r="G38" s="14"/>
      <c r="H38" s="14"/>
    </row>
    <row r="39" spans="1:8" x14ac:dyDescent="0.2">
      <c r="A39" s="14"/>
      <c r="B39" s="14"/>
      <c r="C39" s="14"/>
      <c r="D39" s="14"/>
      <c r="E39" s="14"/>
      <c r="F39" s="14"/>
      <c r="G39" s="14"/>
      <c r="H39" s="14"/>
    </row>
    <row r="40" spans="1:8" x14ac:dyDescent="0.2">
      <c r="A40" s="1" t="s">
        <v>38</v>
      </c>
      <c r="B40" s="14"/>
      <c r="C40" s="221"/>
      <c r="D40" s="221"/>
      <c r="E40" s="221"/>
      <c r="F40" s="221"/>
      <c r="G40" s="221"/>
      <c r="H40" s="221"/>
    </row>
    <row r="41" spans="1:8" x14ac:dyDescent="0.2">
      <c r="A41" s="14"/>
      <c r="B41" s="14"/>
      <c r="C41" s="216" t="s">
        <v>19</v>
      </c>
      <c r="D41" s="216"/>
      <c r="E41" s="216"/>
      <c r="F41" s="216"/>
      <c r="G41" s="216"/>
      <c r="H41" s="216"/>
    </row>
    <row r="42" spans="1:8" x14ac:dyDescent="0.2">
      <c r="A42" s="14"/>
      <c r="B42" s="14"/>
      <c r="C42" s="14"/>
      <c r="D42" s="14"/>
      <c r="E42" s="14"/>
      <c r="F42" s="14"/>
      <c r="G42" s="14"/>
      <c r="H42" s="14"/>
    </row>
    <row r="43" spans="1:8" x14ac:dyDescent="0.2">
      <c r="A43" s="70" t="s">
        <v>20</v>
      </c>
      <c r="B43" s="71"/>
      <c r="C43" s="76"/>
      <c r="D43" s="71"/>
      <c r="F43" s="14"/>
      <c r="G43" s="14"/>
      <c r="H43" s="14"/>
    </row>
    <row r="53" spans="5:9" x14ac:dyDescent="0.2">
      <c r="E53" s="17"/>
      <c r="F53" s="17"/>
      <c r="G53" s="17"/>
      <c r="H53" s="17"/>
      <c r="I53" s="17"/>
    </row>
  </sheetData>
  <mergeCells count="42">
    <mergeCell ref="C35:H35"/>
    <mergeCell ref="C36:H36"/>
    <mergeCell ref="C40:H40"/>
    <mergeCell ref="C41:H41"/>
    <mergeCell ref="A28:D28"/>
    <mergeCell ref="A29:C29"/>
    <mergeCell ref="A30:C30"/>
    <mergeCell ref="A31:C31"/>
    <mergeCell ref="A32:C32"/>
    <mergeCell ref="C15:D15"/>
    <mergeCell ref="C16:D16"/>
    <mergeCell ref="C17:D17"/>
    <mergeCell ref="C18:D18"/>
    <mergeCell ref="C27:D27"/>
    <mergeCell ref="C20:D20"/>
    <mergeCell ref="C19:D19"/>
    <mergeCell ref="C21:D21"/>
    <mergeCell ref="C22:D22"/>
    <mergeCell ref="C24:D24"/>
    <mergeCell ref="C25:D25"/>
    <mergeCell ref="C26:D26"/>
    <mergeCell ref="C23:D23"/>
    <mergeCell ref="F13:H13"/>
    <mergeCell ref="I13:I14"/>
    <mergeCell ref="A8:C8"/>
    <mergeCell ref="D8:I8"/>
    <mergeCell ref="A9:C9"/>
    <mergeCell ref="D9:I9"/>
    <mergeCell ref="D10:E10"/>
    <mergeCell ref="D11:E11"/>
    <mergeCell ref="E13:E14"/>
    <mergeCell ref="A13:A14"/>
    <mergeCell ref="B13:B14"/>
    <mergeCell ref="C13:D14"/>
    <mergeCell ref="A7:C7"/>
    <mergeCell ref="D7:I7"/>
    <mergeCell ref="G1:I1"/>
    <mergeCell ref="A2:I2"/>
    <mergeCell ref="C4:I4"/>
    <mergeCell ref="A6:C6"/>
    <mergeCell ref="D6:I6"/>
    <mergeCell ref="C5:I5"/>
  </mergeCells>
  <conditionalFormatting sqref="E28:I28">
    <cfRule type="cellIs" dxfId="399" priority="20" operator="equal">
      <formula>0</formula>
    </cfRule>
  </conditionalFormatting>
  <conditionalFormatting sqref="D10:E11">
    <cfRule type="cellIs" dxfId="398" priority="19" operator="equal">
      <formula>0</formula>
    </cfRule>
  </conditionalFormatting>
  <conditionalFormatting sqref="E15 C15:D22 E29:E32 C24:D27 I15:I27">
    <cfRule type="cellIs" dxfId="397" priority="17" operator="equal">
      <formula>0</formula>
    </cfRule>
  </conditionalFormatting>
  <conditionalFormatting sqref="D29:D31">
    <cfRule type="cellIs" dxfId="396" priority="15" operator="equal">
      <formula>0</formula>
    </cfRule>
  </conditionalFormatting>
  <conditionalFormatting sqref="C40:H40">
    <cfRule type="cellIs" dxfId="395" priority="12" operator="equal">
      <formula>0</formula>
    </cfRule>
  </conditionalFormatting>
  <conditionalFormatting sqref="C35:H35">
    <cfRule type="cellIs" dxfId="394" priority="11" operator="equal">
      <formula>0</formula>
    </cfRule>
  </conditionalFormatting>
  <conditionalFormatting sqref="E15:E27">
    <cfRule type="cellIs" dxfId="393" priority="9" operator="equal">
      <formula>0</formula>
    </cfRule>
  </conditionalFormatting>
  <conditionalFormatting sqref="F15:I27">
    <cfRule type="cellIs" dxfId="392" priority="8" operator="equal">
      <formula>0</formula>
    </cfRule>
  </conditionalFormatting>
  <conditionalFormatting sqref="D6:I9">
    <cfRule type="cellIs" dxfId="391" priority="7" operator="equal">
      <formula>0</formula>
    </cfRule>
  </conditionalFormatting>
  <conditionalFormatting sqref="C43">
    <cfRule type="cellIs" dxfId="390" priority="5" operator="equal">
      <formula>0</formula>
    </cfRule>
  </conditionalFormatting>
  <conditionalFormatting sqref="B15:B27">
    <cfRule type="cellIs" dxfId="389" priority="4" operator="equal">
      <formula>0</formula>
    </cfRule>
  </conditionalFormatting>
  <conditionalFormatting sqref="A15:A27">
    <cfRule type="cellIs" dxfId="388" priority="2" operator="equal">
      <formula>0</formula>
    </cfRule>
  </conditionalFormatting>
  <conditionalFormatting sqref="C23:D23">
    <cfRule type="cellIs" dxfId="387" priority="1" operator="equal">
      <formula>0</formula>
    </cfRule>
  </conditionalFormatting>
  <pageMargins left="0.7" right="0.7" top="0.75" bottom="0.75" header="0.3" footer="0.3"/>
  <pageSetup paperSize="9" scale="9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4" operator="containsText" id="{12AB918F-DA10-40D3-98FE-0DAD77BA765F}">
            <xm:f>NOT(ISERROR(SEARCH("Tāme sastādīta ____. gada ___. ______________",A38)))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A38</xm:sqref>
        </x14:conditionalFormatting>
        <x14:conditionalFormatting xmlns:xm="http://schemas.microsoft.com/office/excel/2006/main">
          <x14:cfRule type="containsText" priority="10" operator="containsText" id="{B0E18B02-73ED-406C-A15F-5DAFFA939ECE}">
            <xm:f>NOT(ISERROR(SEARCH("Sertifikāta Nr. _________________________________",A43)))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P50"/>
  <sheetViews>
    <sheetView tabSelected="1" zoomScaleNormal="100" zoomScaleSheetLayoutView="100" workbookViewId="0">
      <selection activeCell="D5" sqref="D5:L5"/>
    </sheetView>
  </sheetViews>
  <sheetFormatPr defaultColWidth="9.109375" defaultRowHeight="10.199999999999999" x14ac:dyDescent="0.2"/>
  <cols>
    <col min="1" max="1" width="4.5546875" style="1" customWidth="1"/>
    <col min="2" max="2" width="9.44140625" style="1" bestFit="1" customWidth="1"/>
    <col min="3" max="3" width="38.44140625" style="1" customWidth="1"/>
    <col min="4" max="4" width="5.88671875" style="1" customWidth="1"/>
    <col min="5" max="5" width="8.6640625" style="1" customWidth="1"/>
    <col min="6" max="6" width="4" style="1" bestFit="1" customWidth="1"/>
    <col min="7" max="8" width="4.88671875" style="1" bestFit="1" customWidth="1"/>
    <col min="9" max="9" width="5.6640625" style="1" bestFit="1" customWidth="1"/>
    <col min="10" max="11" width="7" style="1" bestFit="1" customWidth="1"/>
    <col min="12" max="12" width="5.6640625" style="1" bestFit="1" customWidth="1"/>
    <col min="13" max="13" width="7.44140625" style="1" bestFit="1" customWidth="1"/>
    <col min="14" max="14" width="6.5546875" style="1" bestFit="1" customWidth="1"/>
    <col min="15" max="15" width="7.44140625" style="1" bestFit="1" customWidth="1"/>
    <col min="16" max="16" width="9" style="1" customWidth="1"/>
    <col min="17" max="16384" width="9.109375" style="1"/>
  </cols>
  <sheetData>
    <row r="1" spans="1:16" x14ac:dyDescent="0.2">
      <c r="A1" s="19"/>
      <c r="B1" s="19"/>
      <c r="C1" s="23" t="s">
        <v>39</v>
      </c>
      <c r="D1" s="40">
        <f>'Kops a'!A15</f>
        <v>0</v>
      </c>
      <c r="E1" s="19"/>
      <c r="F1" s="19"/>
      <c r="G1" s="19"/>
      <c r="H1" s="19"/>
      <c r="I1" s="19"/>
      <c r="J1" s="19"/>
      <c r="N1" s="22"/>
      <c r="O1" s="23"/>
      <c r="P1" s="24"/>
    </row>
    <row r="2" spans="1:16" x14ac:dyDescent="0.2">
      <c r="A2" s="25"/>
      <c r="B2" s="25"/>
      <c r="C2" s="264" t="s">
        <v>40</v>
      </c>
      <c r="D2" s="264"/>
      <c r="E2" s="264"/>
      <c r="F2" s="264"/>
      <c r="G2" s="264"/>
      <c r="H2" s="264"/>
      <c r="I2" s="264"/>
      <c r="J2" s="25"/>
    </row>
    <row r="3" spans="1:16" x14ac:dyDescent="0.2">
      <c r="A3" s="26"/>
      <c r="B3" s="26"/>
      <c r="C3" s="225" t="s">
        <v>23</v>
      </c>
      <c r="D3" s="225"/>
      <c r="E3" s="225"/>
      <c r="F3" s="225"/>
      <c r="G3" s="225"/>
      <c r="H3" s="225"/>
      <c r="I3" s="225"/>
      <c r="J3" s="26"/>
    </row>
    <row r="4" spans="1:16" x14ac:dyDescent="0.2">
      <c r="A4" s="26"/>
      <c r="B4" s="26"/>
      <c r="C4" s="265" t="s">
        <v>5</v>
      </c>
      <c r="D4" s="265"/>
      <c r="E4" s="265"/>
      <c r="F4" s="265"/>
      <c r="G4" s="265"/>
      <c r="H4" s="265"/>
      <c r="I4" s="265"/>
      <c r="J4" s="26"/>
    </row>
    <row r="5" spans="1:16" ht="11.25" customHeight="1" x14ac:dyDescent="0.2">
      <c r="A5" s="19"/>
      <c r="B5" s="19"/>
      <c r="C5" s="23" t="s">
        <v>6</v>
      </c>
      <c r="D5" s="278" t="str">
        <f>'Kops a'!D6</f>
        <v>DAUDZDZĪVOKĻU DZĪVOJAMĀ ĒKA</v>
      </c>
      <c r="E5" s="278"/>
      <c r="F5" s="278"/>
      <c r="G5" s="278"/>
      <c r="H5" s="278"/>
      <c r="I5" s="278"/>
      <c r="J5" s="278"/>
      <c r="K5" s="278"/>
      <c r="L5" s="278"/>
      <c r="M5" s="14"/>
      <c r="N5" s="14"/>
      <c r="O5" s="14"/>
      <c r="P5" s="14"/>
    </row>
    <row r="6" spans="1:16" x14ac:dyDescent="0.2">
      <c r="A6" s="19"/>
      <c r="B6" s="19"/>
      <c r="C6" s="23" t="s">
        <v>8</v>
      </c>
      <c r="D6" s="278" t="str">
        <f>'Kops a'!D7</f>
        <v>ENERGOEFEKTIVITĀTES PAAUGSTINĀŠANA DAUDZDZĪVOKĻU DZĪVOJAMAI ĒKAI</v>
      </c>
      <c r="E6" s="278"/>
      <c r="F6" s="278"/>
      <c r="G6" s="278"/>
      <c r="H6" s="278"/>
      <c r="I6" s="278"/>
      <c r="J6" s="278"/>
      <c r="K6" s="278"/>
      <c r="L6" s="278"/>
      <c r="M6" s="14"/>
      <c r="N6" s="14"/>
      <c r="O6" s="14"/>
      <c r="P6" s="14"/>
    </row>
    <row r="7" spans="1:16" x14ac:dyDescent="0.2">
      <c r="A7" s="19"/>
      <c r="B7" s="19"/>
      <c r="C7" s="23" t="s">
        <v>10</v>
      </c>
      <c r="D7" s="278" t="str">
        <f>'Kops a'!D8</f>
        <v>Mātera iela 23/25, Jelgava, ēkas kad. apz. 0900 001 0126 001</v>
      </c>
      <c r="E7" s="278"/>
      <c r="F7" s="278"/>
      <c r="G7" s="278"/>
      <c r="H7" s="278"/>
      <c r="I7" s="278"/>
      <c r="J7" s="278"/>
      <c r="K7" s="278"/>
      <c r="L7" s="278"/>
      <c r="M7" s="14"/>
      <c r="N7" s="14"/>
      <c r="O7" s="14"/>
      <c r="P7" s="14"/>
    </row>
    <row r="8" spans="1:16" x14ac:dyDescent="0.2">
      <c r="A8" s="19"/>
      <c r="B8" s="19"/>
      <c r="C8" s="210" t="s">
        <v>26</v>
      </c>
      <c r="D8" s="278">
        <f>'Kops a'!D9</f>
        <v>0</v>
      </c>
      <c r="E8" s="278"/>
      <c r="F8" s="278"/>
      <c r="G8" s="278"/>
      <c r="H8" s="278"/>
      <c r="I8" s="278"/>
      <c r="J8" s="278"/>
      <c r="K8" s="278"/>
      <c r="L8" s="278"/>
      <c r="M8" s="14"/>
      <c r="N8" s="14"/>
      <c r="O8" s="14"/>
      <c r="P8" s="14"/>
    </row>
    <row r="9" spans="1:16" ht="11.25" customHeight="1" x14ac:dyDescent="0.2">
      <c r="A9" s="266" t="s">
        <v>41</v>
      </c>
      <c r="B9" s="266"/>
      <c r="C9" s="266"/>
      <c r="D9" s="266"/>
      <c r="E9" s="266"/>
      <c r="F9" s="266"/>
      <c r="G9" s="27"/>
      <c r="H9" s="27"/>
      <c r="I9" s="27"/>
      <c r="J9" s="270" t="s">
        <v>42</v>
      </c>
      <c r="K9" s="270"/>
      <c r="L9" s="270"/>
      <c r="M9" s="270"/>
      <c r="N9" s="277">
        <f>P38</f>
        <v>0</v>
      </c>
      <c r="O9" s="277"/>
      <c r="P9" s="27"/>
    </row>
    <row r="10" spans="1:16" x14ac:dyDescent="0.2">
      <c r="A10" s="28"/>
      <c r="B10" s="29"/>
      <c r="C10" s="210"/>
      <c r="D10" s="19"/>
      <c r="E10" s="19"/>
      <c r="F10" s="19"/>
      <c r="G10" s="19"/>
      <c r="H10" s="19"/>
      <c r="I10" s="19"/>
      <c r="J10" s="19"/>
      <c r="K10" s="19"/>
      <c r="L10" s="25"/>
      <c r="M10" s="25"/>
      <c r="O10" s="74"/>
      <c r="P10" s="72" t="str">
        <f>A44</f>
        <v>Tāme sastādīta</v>
      </c>
    </row>
    <row r="11" spans="1:16" ht="10.8" thickBot="1" x14ac:dyDescent="0.25">
      <c r="A11" s="28"/>
      <c r="B11" s="29"/>
      <c r="C11" s="210"/>
      <c r="D11" s="19"/>
      <c r="E11" s="19"/>
      <c r="F11" s="19"/>
      <c r="G11" s="19"/>
      <c r="H11" s="19"/>
      <c r="I11" s="19"/>
      <c r="J11" s="19"/>
      <c r="K11" s="19"/>
      <c r="L11" s="30"/>
      <c r="M11" s="30"/>
      <c r="N11" s="31"/>
      <c r="O11" s="22"/>
      <c r="P11" s="19"/>
    </row>
    <row r="12" spans="1:16" x14ac:dyDescent="0.2">
      <c r="A12" s="236" t="s">
        <v>29</v>
      </c>
      <c r="B12" s="272" t="s">
        <v>43</v>
      </c>
      <c r="C12" s="268" t="s">
        <v>44</v>
      </c>
      <c r="D12" s="275" t="s">
        <v>45</v>
      </c>
      <c r="E12" s="279" t="s">
        <v>46</v>
      </c>
      <c r="F12" s="267" t="s">
        <v>47</v>
      </c>
      <c r="G12" s="268"/>
      <c r="H12" s="268"/>
      <c r="I12" s="268"/>
      <c r="J12" s="268"/>
      <c r="K12" s="269"/>
      <c r="L12" s="267" t="s">
        <v>48</v>
      </c>
      <c r="M12" s="268"/>
      <c r="N12" s="268"/>
      <c r="O12" s="268"/>
      <c r="P12" s="269"/>
    </row>
    <row r="13" spans="1:16" ht="126.75" customHeight="1" thickBot="1" x14ac:dyDescent="0.25">
      <c r="A13" s="271"/>
      <c r="B13" s="273"/>
      <c r="C13" s="274"/>
      <c r="D13" s="276"/>
      <c r="E13" s="280"/>
      <c r="F13" s="214" t="s">
        <v>49</v>
      </c>
      <c r="G13" s="215" t="s">
        <v>50</v>
      </c>
      <c r="H13" s="215" t="s">
        <v>51</v>
      </c>
      <c r="I13" s="215" t="s">
        <v>52</v>
      </c>
      <c r="J13" s="215" t="s">
        <v>53</v>
      </c>
      <c r="K13" s="51" t="s">
        <v>54</v>
      </c>
      <c r="L13" s="214" t="s">
        <v>49</v>
      </c>
      <c r="M13" s="215" t="s">
        <v>51</v>
      </c>
      <c r="N13" s="215" t="s">
        <v>52</v>
      </c>
      <c r="O13" s="215" t="s">
        <v>53</v>
      </c>
      <c r="P13" s="51" t="s">
        <v>54</v>
      </c>
    </row>
    <row r="14" spans="1:16" ht="13.2" x14ac:dyDescent="0.2">
      <c r="A14" s="121"/>
      <c r="B14" s="122"/>
      <c r="C14" s="123" t="s">
        <v>55</v>
      </c>
      <c r="D14" s="124"/>
      <c r="E14" s="125"/>
      <c r="F14" s="126"/>
      <c r="G14" s="127"/>
      <c r="H14" s="127"/>
      <c r="I14" s="127"/>
      <c r="J14" s="127"/>
      <c r="K14" s="127"/>
      <c r="L14" s="102">
        <f>ROUND(E14*F14,2)</f>
        <v>0</v>
      </c>
      <c r="M14" s="103">
        <f>ROUND(H14*E14,2)</f>
        <v>0</v>
      </c>
      <c r="N14" s="103">
        <f>ROUND(I14*E14,2)</f>
        <v>0</v>
      </c>
      <c r="O14" s="103">
        <f>ROUND(J14*E14,2)</f>
        <v>0</v>
      </c>
      <c r="P14" s="104">
        <f>SUM(M14:O14)</f>
        <v>0</v>
      </c>
    </row>
    <row r="15" spans="1:16" ht="13.2" x14ac:dyDescent="0.2">
      <c r="A15" s="128">
        <v>1</v>
      </c>
      <c r="B15" s="129" t="s">
        <v>56</v>
      </c>
      <c r="C15" s="130" t="s">
        <v>57</v>
      </c>
      <c r="D15" s="131" t="s">
        <v>58</v>
      </c>
      <c r="E15" s="132">
        <v>252.2</v>
      </c>
      <c r="F15" s="133"/>
      <c r="G15" s="134"/>
      <c r="H15" s="135">
        <f>ROUND(F15*G15,2)</f>
        <v>0</v>
      </c>
      <c r="I15" s="134"/>
      <c r="J15" s="134"/>
      <c r="K15" s="134">
        <f t="shared" ref="K15:K30" si="0">ROUND(H15+J15+I15,2)</f>
        <v>0</v>
      </c>
      <c r="L15" s="105">
        <f t="shared" ref="L15:L27" si="1">ROUND(E15*F15,2)</f>
        <v>0</v>
      </c>
      <c r="M15" s="87">
        <f t="shared" ref="M15:M27" si="2">ROUND(E15*H15,2)</f>
        <v>0</v>
      </c>
      <c r="N15" s="87">
        <f t="shared" ref="N15:N27" si="3">ROUND(E15*I15,2)</f>
        <v>0</v>
      </c>
      <c r="O15" s="87">
        <f t="shared" ref="O15:O27" si="4">ROUND(E15*J15,2)</f>
        <v>0</v>
      </c>
      <c r="P15" s="88">
        <f t="shared" ref="P15:P27" si="5">ROUND(O15+N15+M15,2)</f>
        <v>0</v>
      </c>
    </row>
    <row r="16" spans="1:16" ht="13.2" x14ac:dyDescent="0.2">
      <c r="A16" s="128">
        <v>2</v>
      </c>
      <c r="B16" s="129" t="s">
        <v>56</v>
      </c>
      <c r="C16" s="130" t="s">
        <v>59</v>
      </c>
      <c r="D16" s="131" t="s">
        <v>60</v>
      </c>
      <c r="E16" s="132">
        <v>1</v>
      </c>
      <c r="F16" s="133"/>
      <c r="G16" s="134"/>
      <c r="H16" s="135">
        <f>ROUND(F16*G16,2)</f>
        <v>0</v>
      </c>
      <c r="I16" s="134"/>
      <c r="J16" s="134"/>
      <c r="K16" s="134">
        <f t="shared" si="0"/>
        <v>0</v>
      </c>
      <c r="L16" s="105">
        <f t="shared" si="1"/>
        <v>0</v>
      </c>
      <c r="M16" s="87">
        <f t="shared" si="2"/>
        <v>0</v>
      </c>
      <c r="N16" s="87">
        <f t="shared" si="3"/>
        <v>0</v>
      </c>
      <c r="O16" s="87">
        <f t="shared" si="4"/>
        <v>0</v>
      </c>
      <c r="P16" s="88">
        <f t="shared" si="5"/>
        <v>0</v>
      </c>
    </row>
    <row r="17" spans="1:16" ht="13.2" x14ac:dyDescent="0.2">
      <c r="A17" s="128">
        <v>3</v>
      </c>
      <c r="B17" s="129" t="s">
        <v>56</v>
      </c>
      <c r="C17" s="136" t="s">
        <v>61</v>
      </c>
      <c r="D17" s="131" t="s">
        <v>62</v>
      </c>
      <c r="E17" s="132">
        <v>1</v>
      </c>
      <c r="F17" s="133"/>
      <c r="G17" s="134"/>
      <c r="H17" s="135">
        <f t="shared" ref="H17:H30" si="6">ROUND(F17*G17,2)</f>
        <v>0</v>
      </c>
      <c r="I17" s="134"/>
      <c r="J17" s="134"/>
      <c r="K17" s="134">
        <f t="shared" si="0"/>
        <v>0</v>
      </c>
      <c r="L17" s="105">
        <f t="shared" si="1"/>
        <v>0</v>
      </c>
      <c r="M17" s="87">
        <f t="shared" si="2"/>
        <v>0</v>
      </c>
      <c r="N17" s="87">
        <f t="shared" si="3"/>
        <v>0</v>
      </c>
      <c r="O17" s="87">
        <f t="shared" si="4"/>
        <v>0</v>
      </c>
      <c r="P17" s="88">
        <f t="shared" si="5"/>
        <v>0</v>
      </c>
    </row>
    <row r="18" spans="1:16" ht="13.2" x14ac:dyDescent="0.2">
      <c r="A18" s="128">
        <v>4</v>
      </c>
      <c r="B18" s="129" t="s">
        <v>56</v>
      </c>
      <c r="C18" s="136" t="s">
        <v>63</v>
      </c>
      <c r="D18" s="131" t="s">
        <v>62</v>
      </c>
      <c r="E18" s="132">
        <v>1</v>
      </c>
      <c r="F18" s="133"/>
      <c r="G18" s="134"/>
      <c r="H18" s="135">
        <f t="shared" si="6"/>
        <v>0</v>
      </c>
      <c r="I18" s="134"/>
      <c r="J18" s="134"/>
      <c r="K18" s="134">
        <f t="shared" si="0"/>
        <v>0</v>
      </c>
      <c r="L18" s="105">
        <f t="shared" si="1"/>
        <v>0</v>
      </c>
      <c r="M18" s="87">
        <f t="shared" si="2"/>
        <v>0</v>
      </c>
      <c r="N18" s="87">
        <f t="shared" si="3"/>
        <v>0</v>
      </c>
      <c r="O18" s="87">
        <f t="shared" si="4"/>
        <v>0</v>
      </c>
      <c r="P18" s="88">
        <f t="shared" si="5"/>
        <v>0</v>
      </c>
    </row>
    <row r="19" spans="1:16" ht="13.2" x14ac:dyDescent="0.2">
      <c r="A19" s="128">
        <v>5</v>
      </c>
      <c r="B19" s="129" t="s">
        <v>56</v>
      </c>
      <c r="C19" s="136" t="s">
        <v>64</v>
      </c>
      <c r="D19" s="131" t="s">
        <v>62</v>
      </c>
      <c r="E19" s="132">
        <v>1</v>
      </c>
      <c r="F19" s="133"/>
      <c r="G19" s="134"/>
      <c r="H19" s="135">
        <f t="shared" si="6"/>
        <v>0</v>
      </c>
      <c r="I19" s="134"/>
      <c r="J19" s="134"/>
      <c r="K19" s="134">
        <f t="shared" si="0"/>
        <v>0</v>
      </c>
      <c r="L19" s="105">
        <f t="shared" si="1"/>
        <v>0</v>
      </c>
      <c r="M19" s="87">
        <f t="shared" si="2"/>
        <v>0</v>
      </c>
      <c r="N19" s="87">
        <f t="shared" si="3"/>
        <v>0</v>
      </c>
      <c r="O19" s="87">
        <f t="shared" si="4"/>
        <v>0</v>
      </c>
      <c r="P19" s="88">
        <f t="shared" si="5"/>
        <v>0</v>
      </c>
    </row>
    <row r="20" spans="1:16" ht="13.2" x14ac:dyDescent="0.2">
      <c r="A20" s="128">
        <v>6</v>
      </c>
      <c r="B20" s="129" t="s">
        <v>56</v>
      </c>
      <c r="C20" s="136" t="s">
        <v>65</v>
      </c>
      <c r="D20" s="131" t="s">
        <v>60</v>
      </c>
      <c r="E20" s="132">
        <v>2</v>
      </c>
      <c r="F20" s="133"/>
      <c r="G20" s="134"/>
      <c r="H20" s="135">
        <f t="shared" si="6"/>
        <v>0</v>
      </c>
      <c r="I20" s="134"/>
      <c r="J20" s="134"/>
      <c r="K20" s="134">
        <f t="shared" si="0"/>
        <v>0</v>
      </c>
      <c r="L20" s="105">
        <f t="shared" si="1"/>
        <v>0</v>
      </c>
      <c r="M20" s="87">
        <f t="shared" si="2"/>
        <v>0</v>
      </c>
      <c r="N20" s="87">
        <f t="shared" si="3"/>
        <v>0</v>
      </c>
      <c r="O20" s="87">
        <f t="shared" si="4"/>
        <v>0</v>
      </c>
      <c r="P20" s="88">
        <f t="shared" si="5"/>
        <v>0</v>
      </c>
    </row>
    <row r="21" spans="1:16" ht="13.2" x14ac:dyDescent="0.2">
      <c r="A21" s="128">
        <v>7</v>
      </c>
      <c r="B21" s="129" t="s">
        <v>56</v>
      </c>
      <c r="C21" s="136" t="s">
        <v>66</v>
      </c>
      <c r="D21" s="131" t="s">
        <v>60</v>
      </c>
      <c r="E21" s="132">
        <v>1</v>
      </c>
      <c r="F21" s="133"/>
      <c r="G21" s="134"/>
      <c r="H21" s="135">
        <f t="shared" si="6"/>
        <v>0</v>
      </c>
      <c r="I21" s="134"/>
      <c r="J21" s="134"/>
      <c r="K21" s="134">
        <f t="shared" si="0"/>
        <v>0</v>
      </c>
      <c r="L21" s="105">
        <f t="shared" si="1"/>
        <v>0</v>
      </c>
      <c r="M21" s="87">
        <f t="shared" si="2"/>
        <v>0</v>
      </c>
      <c r="N21" s="87">
        <f t="shared" si="3"/>
        <v>0</v>
      </c>
      <c r="O21" s="87">
        <f t="shared" si="4"/>
        <v>0</v>
      </c>
      <c r="P21" s="88">
        <f t="shared" si="5"/>
        <v>0</v>
      </c>
    </row>
    <row r="22" spans="1:16" ht="13.2" x14ac:dyDescent="0.2">
      <c r="A22" s="128">
        <v>8</v>
      </c>
      <c r="B22" s="129" t="s">
        <v>56</v>
      </c>
      <c r="C22" s="136" t="s">
        <v>67</v>
      </c>
      <c r="D22" s="131" t="s">
        <v>62</v>
      </c>
      <c r="E22" s="132">
        <v>1</v>
      </c>
      <c r="F22" s="133"/>
      <c r="G22" s="134"/>
      <c r="H22" s="135">
        <f t="shared" si="6"/>
        <v>0</v>
      </c>
      <c r="I22" s="134"/>
      <c r="J22" s="134"/>
      <c r="K22" s="134">
        <f t="shared" si="0"/>
        <v>0</v>
      </c>
      <c r="L22" s="105">
        <f t="shared" si="1"/>
        <v>0</v>
      </c>
      <c r="M22" s="87">
        <f t="shared" si="2"/>
        <v>0</v>
      </c>
      <c r="N22" s="87">
        <f t="shared" si="3"/>
        <v>0</v>
      </c>
      <c r="O22" s="87">
        <f t="shared" si="4"/>
        <v>0</v>
      </c>
      <c r="P22" s="88">
        <f t="shared" si="5"/>
        <v>0</v>
      </c>
    </row>
    <row r="23" spans="1:16" ht="13.2" x14ac:dyDescent="0.2">
      <c r="A23" s="128">
        <v>9</v>
      </c>
      <c r="B23" s="129" t="s">
        <v>56</v>
      </c>
      <c r="C23" s="136" t="s">
        <v>68</v>
      </c>
      <c r="D23" s="131" t="s">
        <v>62</v>
      </c>
      <c r="E23" s="132">
        <v>1</v>
      </c>
      <c r="F23" s="133"/>
      <c r="G23" s="134"/>
      <c r="H23" s="135">
        <f t="shared" si="6"/>
        <v>0</v>
      </c>
      <c r="I23" s="134"/>
      <c r="J23" s="134"/>
      <c r="K23" s="134">
        <f t="shared" si="0"/>
        <v>0</v>
      </c>
      <c r="L23" s="105">
        <f t="shared" si="1"/>
        <v>0</v>
      </c>
      <c r="M23" s="87">
        <f t="shared" si="2"/>
        <v>0</v>
      </c>
      <c r="N23" s="87">
        <f t="shared" si="3"/>
        <v>0</v>
      </c>
      <c r="O23" s="87">
        <f t="shared" si="4"/>
        <v>0</v>
      </c>
      <c r="P23" s="88">
        <f t="shared" si="5"/>
        <v>0</v>
      </c>
    </row>
    <row r="24" spans="1:16" ht="13.2" x14ac:dyDescent="0.2">
      <c r="A24" s="128">
        <v>10</v>
      </c>
      <c r="B24" s="129" t="s">
        <v>56</v>
      </c>
      <c r="C24" s="136" t="s">
        <v>69</v>
      </c>
      <c r="D24" s="131" t="s">
        <v>70</v>
      </c>
      <c r="E24" s="132">
        <v>1</v>
      </c>
      <c r="F24" s="133"/>
      <c r="G24" s="134"/>
      <c r="H24" s="135">
        <f t="shared" si="6"/>
        <v>0</v>
      </c>
      <c r="I24" s="134"/>
      <c r="J24" s="134"/>
      <c r="K24" s="134">
        <f t="shared" si="0"/>
        <v>0</v>
      </c>
      <c r="L24" s="105">
        <f t="shared" si="1"/>
        <v>0</v>
      </c>
      <c r="M24" s="87">
        <f t="shared" si="2"/>
        <v>0</v>
      </c>
      <c r="N24" s="87">
        <f t="shared" si="3"/>
        <v>0</v>
      </c>
      <c r="O24" s="87">
        <f t="shared" si="4"/>
        <v>0</v>
      </c>
      <c r="P24" s="88">
        <f t="shared" si="5"/>
        <v>0</v>
      </c>
    </row>
    <row r="25" spans="1:16" ht="13.2" x14ac:dyDescent="0.2">
      <c r="A25" s="128">
        <v>11</v>
      </c>
      <c r="B25" s="129" t="s">
        <v>56</v>
      </c>
      <c r="C25" s="136" t="s">
        <v>71</v>
      </c>
      <c r="D25" s="131" t="s">
        <v>60</v>
      </c>
      <c r="E25" s="132">
        <v>5</v>
      </c>
      <c r="F25" s="133"/>
      <c r="G25" s="134"/>
      <c r="H25" s="135">
        <f t="shared" si="6"/>
        <v>0</v>
      </c>
      <c r="I25" s="134"/>
      <c r="J25" s="134"/>
      <c r="K25" s="134">
        <f t="shared" si="0"/>
        <v>0</v>
      </c>
      <c r="L25" s="105">
        <f t="shared" si="1"/>
        <v>0</v>
      </c>
      <c r="M25" s="87">
        <f t="shared" si="2"/>
        <v>0</v>
      </c>
      <c r="N25" s="87">
        <f t="shared" si="3"/>
        <v>0</v>
      </c>
      <c r="O25" s="87">
        <f t="shared" si="4"/>
        <v>0</v>
      </c>
      <c r="P25" s="88">
        <f t="shared" si="5"/>
        <v>0</v>
      </c>
    </row>
    <row r="26" spans="1:16" ht="26.4" x14ac:dyDescent="0.2">
      <c r="A26" s="128">
        <v>12</v>
      </c>
      <c r="B26" s="129" t="s">
        <v>56</v>
      </c>
      <c r="C26" s="136" t="s">
        <v>72</v>
      </c>
      <c r="D26" s="131" t="s">
        <v>70</v>
      </c>
      <c r="E26" s="132">
        <v>3221.3</v>
      </c>
      <c r="F26" s="133"/>
      <c r="G26" s="134"/>
      <c r="H26" s="135">
        <f t="shared" si="6"/>
        <v>0</v>
      </c>
      <c r="I26" s="134"/>
      <c r="J26" s="134"/>
      <c r="K26" s="134">
        <f t="shared" si="0"/>
        <v>0</v>
      </c>
      <c r="L26" s="105">
        <f t="shared" si="1"/>
        <v>0</v>
      </c>
      <c r="M26" s="87">
        <f t="shared" si="2"/>
        <v>0</v>
      </c>
      <c r="N26" s="87">
        <f t="shared" si="3"/>
        <v>0</v>
      </c>
      <c r="O26" s="87">
        <f t="shared" si="4"/>
        <v>0</v>
      </c>
      <c r="P26" s="88">
        <f t="shared" si="5"/>
        <v>0</v>
      </c>
    </row>
    <row r="27" spans="1:16" ht="13.2" x14ac:dyDescent="0.2">
      <c r="A27" s="128">
        <v>13</v>
      </c>
      <c r="B27" s="129" t="s">
        <v>56</v>
      </c>
      <c r="C27" s="136" t="s">
        <v>73</v>
      </c>
      <c r="D27" s="131" t="s">
        <v>62</v>
      </c>
      <c r="E27" s="132">
        <v>6</v>
      </c>
      <c r="F27" s="133"/>
      <c r="G27" s="134"/>
      <c r="H27" s="135">
        <f t="shared" si="6"/>
        <v>0</v>
      </c>
      <c r="I27" s="134"/>
      <c r="J27" s="134"/>
      <c r="K27" s="134">
        <f t="shared" si="0"/>
        <v>0</v>
      </c>
      <c r="L27" s="105">
        <f t="shared" si="1"/>
        <v>0</v>
      </c>
      <c r="M27" s="87">
        <f t="shared" si="2"/>
        <v>0</v>
      </c>
      <c r="N27" s="87">
        <f t="shared" si="3"/>
        <v>0</v>
      </c>
      <c r="O27" s="87">
        <f t="shared" si="4"/>
        <v>0</v>
      </c>
      <c r="P27" s="88">
        <f t="shared" si="5"/>
        <v>0</v>
      </c>
    </row>
    <row r="28" spans="1:16" ht="26.4" x14ac:dyDescent="0.2">
      <c r="A28" s="128">
        <v>14</v>
      </c>
      <c r="B28" s="129" t="s">
        <v>56</v>
      </c>
      <c r="C28" s="136" t="s">
        <v>74</v>
      </c>
      <c r="D28" s="131" t="s">
        <v>62</v>
      </c>
      <c r="E28" s="132">
        <v>25</v>
      </c>
      <c r="F28" s="133"/>
      <c r="G28" s="134"/>
      <c r="H28" s="135">
        <f t="shared" si="6"/>
        <v>0</v>
      </c>
      <c r="I28" s="134"/>
      <c r="J28" s="134"/>
      <c r="K28" s="134">
        <f t="shared" si="0"/>
        <v>0</v>
      </c>
      <c r="L28" s="206">
        <f t="shared" ref="L28" si="7">ROUND(E28*F28,2)</f>
        <v>0</v>
      </c>
      <c r="M28" s="207">
        <f t="shared" ref="M28" si="8">ROUND(H28*E28,2)</f>
        <v>0</v>
      </c>
      <c r="N28" s="207">
        <f t="shared" ref="N28" si="9">ROUND(I28*E28,2)</f>
        <v>0</v>
      </c>
      <c r="O28" s="207">
        <f t="shared" ref="O28" si="10">ROUND(J28*E28,2)</f>
        <v>0</v>
      </c>
      <c r="P28" s="208">
        <f t="shared" ref="P28" si="11">SUM(M28:O28)</f>
        <v>0</v>
      </c>
    </row>
    <row r="29" spans="1:16" ht="13.2" x14ac:dyDescent="0.2">
      <c r="A29" s="128">
        <v>15</v>
      </c>
      <c r="B29" s="129" t="s">
        <v>56</v>
      </c>
      <c r="C29" s="136" t="s">
        <v>71</v>
      </c>
      <c r="D29" s="131" t="s">
        <v>60</v>
      </c>
      <c r="E29" s="132">
        <v>5</v>
      </c>
      <c r="F29" s="133"/>
      <c r="G29" s="134"/>
      <c r="H29" s="135">
        <f t="shared" si="6"/>
        <v>0</v>
      </c>
      <c r="I29" s="134"/>
      <c r="J29" s="134"/>
      <c r="K29" s="134">
        <f t="shared" si="0"/>
        <v>0</v>
      </c>
      <c r="L29" s="206">
        <f t="shared" ref="L29:L37" si="12">ROUND(E29*F29,2)</f>
        <v>0</v>
      </c>
      <c r="M29" s="207">
        <f t="shared" ref="M29:M37" si="13">ROUND(H29*E29,2)</f>
        <v>0</v>
      </c>
      <c r="N29" s="207">
        <f t="shared" ref="N29:N37" si="14">ROUND(I29*E29,2)</f>
        <v>0</v>
      </c>
      <c r="O29" s="207">
        <f t="shared" ref="O29:O37" si="15">ROUND(J29*E29,2)</f>
        <v>0</v>
      </c>
      <c r="P29" s="208">
        <f t="shared" ref="P29:P37" si="16">SUM(M29:O29)</f>
        <v>0</v>
      </c>
    </row>
    <row r="30" spans="1:16" ht="13.2" x14ac:dyDescent="0.2">
      <c r="A30" s="128">
        <v>16</v>
      </c>
      <c r="B30" s="129" t="s">
        <v>56</v>
      </c>
      <c r="C30" s="136" t="s">
        <v>75</v>
      </c>
      <c r="D30" s="131" t="s">
        <v>60</v>
      </c>
      <c r="E30" s="132">
        <v>1</v>
      </c>
      <c r="F30" s="133"/>
      <c r="G30" s="134"/>
      <c r="H30" s="135">
        <f t="shared" si="6"/>
        <v>0</v>
      </c>
      <c r="I30" s="134"/>
      <c r="J30" s="134"/>
      <c r="K30" s="134">
        <f t="shared" si="0"/>
        <v>0</v>
      </c>
      <c r="L30" s="206">
        <f t="shared" si="12"/>
        <v>0</v>
      </c>
      <c r="M30" s="207">
        <f t="shared" si="13"/>
        <v>0</v>
      </c>
      <c r="N30" s="207">
        <f t="shared" si="14"/>
        <v>0</v>
      </c>
      <c r="O30" s="207">
        <f t="shared" si="15"/>
        <v>0</v>
      </c>
      <c r="P30" s="208">
        <f t="shared" si="16"/>
        <v>0</v>
      </c>
    </row>
    <row r="31" spans="1:16" ht="13.2" x14ac:dyDescent="0.2">
      <c r="A31" s="137"/>
      <c r="B31" s="138"/>
      <c r="C31" s="139" t="s">
        <v>76</v>
      </c>
      <c r="D31" s="140"/>
      <c r="E31" s="141"/>
      <c r="F31" s="142"/>
      <c r="G31" s="143"/>
      <c r="H31" s="143"/>
      <c r="I31" s="143"/>
      <c r="J31" s="143"/>
      <c r="K31" s="143"/>
      <c r="L31" s="206">
        <f t="shared" si="12"/>
        <v>0</v>
      </c>
      <c r="M31" s="207">
        <f t="shared" si="13"/>
        <v>0</v>
      </c>
      <c r="N31" s="207">
        <f t="shared" si="14"/>
        <v>0</v>
      </c>
      <c r="O31" s="207">
        <f t="shared" si="15"/>
        <v>0</v>
      </c>
      <c r="P31" s="208">
        <f t="shared" si="16"/>
        <v>0</v>
      </c>
    </row>
    <row r="32" spans="1:16" ht="26.4" x14ac:dyDescent="0.2">
      <c r="A32" s="128">
        <v>1</v>
      </c>
      <c r="B32" s="129" t="s">
        <v>56</v>
      </c>
      <c r="C32" s="130" t="s">
        <v>77</v>
      </c>
      <c r="D32" s="131" t="s">
        <v>78</v>
      </c>
      <c r="E32" s="132">
        <v>8</v>
      </c>
      <c r="F32" s="133"/>
      <c r="G32" s="134"/>
      <c r="H32" s="135"/>
      <c r="I32" s="134"/>
      <c r="J32" s="134"/>
      <c r="K32" s="134">
        <f t="shared" ref="K32:K37" si="17">ROUND(H32+J32+I32,2)</f>
        <v>0</v>
      </c>
      <c r="L32" s="206">
        <f t="shared" si="12"/>
        <v>0</v>
      </c>
      <c r="M32" s="207">
        <f t="shared" si="13"/>
        <v>0</v>
      </c>
      <c r="N32" s="207">
        <f t="shared" si="14"/>
        <v>0</v>
      </c>
      <c r="O32" s="207">
        <f t="shared" si="15"/>
        <v>0</v>
      </c>
      <c r="P32" s="208">
        <f t="shared" si="16"/>
        <v>0</v>
      </c>
    </row>
    <row r="33" spans="1:16" ht="13.2" x14ac:dyDescent="0.2">
      <c r="A33" s="128">
        <v>2</v>
      </c>
      <c r="B33" s="129" t="s">
        <v>56</v>
      </c>
      <c r="C33" s="136" t="s">
        <v>79</v>
      </c>
      <c r="D33" s="131" t="s">
        <v>78</v>
      </c>
      <c r="E33" s="132">
        <f>E32</f>
        <v>8</v>
      </c>
      <c r="F33" s="133"/>
      <c r="G33" s="134"/>
      <c r="H33" s="135"/>
      <c r="I33" s="134"/>
      <c r="J33" s="134"/>
      <c r="K33" s="134">
        <f t="shared" si="17"/>
        <v>0</v>
      </c>
      <c r="L33" s="206">
        <f t="shared" si="12"/>
        <v>0</v>
      </c>
      <c r="M33" s="207">
        <f t="shared" si="13"/>
        <v>0</v>
      </c>
      <c r="N33" s="207">
        <f t="shared" si="14"/>
        <v>0</v>
      </c>
      <c r="O33" s="207">
        <f t="shared" si="15"/>
        <v>0</v>
      </c>
      <c r="P33" s="208">
        <f t="shared" si="16"/>
        <v>0</v>
      </c>
    </row>
    <row r="34" spans="1:16" ht="13.2" x14ac:dyDescent="0.2">
      <c r="A34" s="128">
        <v>3</v>
      </c>
      <c r="B34" s="129" t="s">
        <v>56</v>
      </c>
      <c r="C34" s="136" t="s">
        <v>80</v>
      </c>
      <c r="D34" s="131" t="s">
        <v>78</v>
      </c>
      <c r="E34" s="132">
        <f>E32</f>
        <v>8</v>
      </c>
      <c r="F34" s="133"/>
      <c r="G34" s="134"/>
      <c r="H34" s="135"/>
      <c r="I34" s="134"/>
      <c r="J34" s="134"/>
      <c r="K34" s="134">
        <f t="shared" si="17"/>
        <v>0</v>
      </c>
      <c r="L34" s="206">
        <f t="shared" si="12"/>
        <v>0</v>
      </c>
      <c r="M34" s="207">
        <f t="shared" si="13"/>
        <v>0</v>
      </c>
      <c r="N34" s="207">
        <f t="shared" si="14"/>
        <v>0</v>
      </c>
      <c r="O34" s="207">
        <f t="shared" si="15"/>
        <v>0</v>
      </c>
      <c r="P34" s="208">
        <f t="shared" si="16"/>
        <v>0</v>
      </c>
    </row>
    <row r="35" spans="1:16" ht="13.2" x14ac:dyDescent="0.2">
      <c r="A35" s="128">
        <v>4</v>
      </c>
      <c r="B35" s="129" t="s">
        <v>56</v>
      </c>
      <c r="C35" s="136" t="s">
        <v>81</v>
      </c>
      <c r="D35" s="131" t="s">
        <v>78</v>
      </c>
      <c r="E35" s="132">
        <f>E32-1</f>
        <v>7</v>
      </c>
      <c r="F35" s="133"/>
      <c r="G35" s="134"/>
      <c r="H35" s="135"/>
      <c r="I35" s="134"/>
      <c r="J35" s="134"/>
      <c r="K35" s="134">
        <f t="shared" si="17"/>
        <v>0</v>
      </c>
      <c r="L35" s="206">
        <f t="shared" si="12"/>
        <v>0</v>
      </c>
      <c r="M35" s="207">
        <f t="shared" si="13"/>
        <v>0</v>
      </c>
      <c r="N35" s="207">
        <f t="shared" si="14"/>
        <v>0</v>
      </c>
      <c r="O35" s="207">
        <f t="shared" si="15"/>
        <v>0</v>
      </c>
      <c r="P35" s="208">
        <f t="shared" si="16"/>
        <v>0</v>
      </c>
    </row>
    <row r="36" spans="1:16" ht="13.2" x14ac:dyDescent="0.2">
      <c r="A36" s="128">
        <v>5</v>
      </c>
      <c r="B36" s="129" t="s">
        <v>56</v>
      </c>
      <c r="C36" s="136" t="s">
        <v>82</v>
      </c>
      <c r="D36" s="131" t="s">
        <v>78</v>
      </c>
      <c r="E36" s="132">
        <f>E32</f>
        <v>8</v>
      </c>
      <c r="F36" s="133"/>
      <c r="G36" s="134"/>
      <c r="H36" s="135"/>
      <c r="I36" s="134"/>
      <c r="J36" s="134"/>
      <c r="K36" s="134">
        <f t="shared" si="17"/>
        <v>0</v>
      </c>
      <c r="L36" s="206">
        <f t="shared" si="12"/>
        <v>0</v>
      </c>
      <c r="M36" s="207">
        <f t="shared" si="13"/>
        <v>0</v>
      </c>
      <c r="N36" s="207">
        <f t="shared" si="14"/>
        <v>0</v>
      </c>
      <c r="O36" s="207">
        <f t="shared" si="15"/>
        <v>0</v>
      </c>
      <c r="P36" s="208">
        <f t="shared" si="16"/>
        <v>0</v>
      </c>
    </row>
    <row r="37" spans="1:16" ht="27" thickBot="1" x14ac:dyDescent="0.25">
      <c r="A37" s="128">
        <v>6</v>
      </c>
      <c r="B37" s="129" t="s">
        <v>56</v>
      </c>
      <c r="C37" s="136" t="s">
        <v>83</v>
      </c>
      <c r="D37" s="131" t="s">
        <v>78</v>
      </c>
      <c r="E37" s="132">
        <f>E33</f>
        <v>8</v>
      </c>
      <c r="F37" s="133"/>
      <c r="G37" s="134"/>
      <c r="H37" s="135"/>
      <c r="I37" s="134"/>
      <c r="J37" s="134"/>
      <c r="K37" s="134">
        <f t="shared" si="17"/>
        <v>0</v>
      </c>
      <c r="L37" s="206">
        <f t="shared" si="12"/>
        <v>0</v>
      </c>
      <c r="M37" s="207">
        <f t="shared" si="13"/>
        <v>0</v>
      </c>
      <c r="N37" s="207">
        <f t="shared" si="14"/>
        <v>0</v>
      </c>
      <c r="O37" s="207">
        <f t="shared" si="15"/>
        <v>0</v>
      </c>
      <c r="P37" s="208">
        <f t="shared" si="16"/>
        <v>0</v>
      </c>
    </row>
    <row r="38" spans="1:16" ht="10.8" thickBot="1" x14ac:dyDescent="0.25">
      <c r="A38" s="282"/>
      <c r="B38" s="283"/>
      <c r="C38" s="283"/>
      <c r="D38" s="283"/>
      <c r="E38" s="283"/>
      <c r="F38" s="283"/>
      <c r="G38" s="283"/>
      <c r="H38" s="283"/>
      <c r="I38" s="283"/>
      <c r="J38" s="283"/>
      <c r="K38" s="284"/>
      <c r="L38" s="52">
        <f>SUM(L14:L37)</f>
        <v>0</v>
      </c>
      <c r="M38" s="53">
        <f>SUM(M14:M37)</f>
        <v>0</v>
      </c>
      <c r="N38" s="53">
        <f>SUM(N14:N37)</f>
        <v>0</v>
      </c>
      <c r="O38" s="53">
        <f>SUM(O14:O37)</f>
        <v>0</v>
      </c>
      <c r="P38" s="54">
        <f>SUM(P14:P37)</f>
        <v>0</v>
      </c>
    </row>
    <row r="39" spans="1:16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</row>
    <row r="40" spans="1:16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</row>
    <row r="41" spans="1:16" x14ac:dyDescent="0.2">
      <c r="A41" s="1" t="s">
        <v>18</v>
      </c>
      <c r="B41" s="14"/>
      <c r="C41" s="281">
        <f>'Kops a'!C35:H35</f>
        <v>0</v>
      </c>
      <c r="D41" s="281"/>
      <c r="E41" s="281"/>
      <c r="F41" s="281"/>
      <c r="G41" s="281"/>
      <c r="H41" s="281"/>
      <c r="I41" s="14"/>
      <c r="J41" s="14"/>
      <c r="K41" s="14"/>
      <c r="L41" s="14"/>
      <c r="M41" s="14"/>
      <c r="N41" s="14"/>
      <c r="O41" s="14"/>
      <c r="P41" s="14"/>
    </row>
    <row r="42" spans="1:16" x14ac:dyDescent="0.2">
      <c r="A42" s="14"/>
      <c r="B42" s="14"/>
      <c r="C42" s="216" t="s">
        <v>19</v>
      </c>
      <c r="D42" s="216"/>
      <c r="E42" s="216"/>
      <c r="F42" s="216"/>
      <c r="G42" s="216"/>
      <c r="H42" s="216"/>
      <c r="I42" s="14"/>
      <c r="J42" s="14"/>
      <c r="K42" s="14"/>
      <c r="L42" s="14"/>
      <c r="M42" s="14"/>
      <c r="N42" s="14"/>
      <c r="O42" s="14"/>
      <c r="P42" s="14"/>
    </row>
    <row r="43" spans="1:16" x14ac:dyDescent="0.2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</row>
    <row r="44" spans="1:16" x14ac:dyDescent="0.2">
      <c r="A44" s="70" t="str">
        <f>'Kops a'!A38</f>
        <v>Tāme sastādīta</v>
      </c>
      <c r="B44" s="71"/>
      <c r="C44" s="71"/>
      <c r="D44" s="71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</row>
    <row r="45" spans="1:16" x14ac:dyDescent="0.2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</row>
    <row r="46" spans="1:16" x14ac:dyDescent="0.2">
      <c r="A46" s="1" t="s">
        <v>38</v>
      </c>
      <c r="B46" s="14"/>
      <c r="C46" s="281">
        <f>'Kops a'!C40:H40</f>
        <v>0</v>
      </c>
      <c r="D46" s="281"/>
      <c r="E46" s="281"/>
      <c r="F46" s="281"/>
      <c r="G46" s="281"/>
      <c r="H46" s="281"/>
      <c r="I46" s="14"/>
      <c r="J46" s="14"/>
      <c r="K46" s="14"/>
      <c r="L46" s="14"/>
      <c r="M46" s="14"/>
      <c r="N46" s="14"/>
      <c r="O46" s="14"/>
      <c r="P46" s="14"/>
    </row>
    <row r="47" spans="1:16" x14ac:dyDescent="0.2">
      <c r="A47" s="14"/>
      <c r="B47" s="14"/>
      <c r="C47" s="216" t="s">
        <v>19</v>
      </c>
      <c r="D47" s="216"/>
      <c r="E47" s="216"/>
      <c r="F47" s="216"/>
      <c r="G47" s="216"/>
      <c r="H47" s="216"/>
      <c r="I47" s="14"/>
      <c r="J47" s="14"/>
      <c r="K47" s="14"/>
      <c r="L47" s="14"/>
      <c r="M47" s="14"/>
      <c r="N47" s="14"/>
      <c r="O47" s="14"/>
      <c r="P47" s="14"/>
    </row>
    <row r="48" spans="1:16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</row>
    <row r="49" spans="1:16" x14ac:dyDescent="0.2">
      <c r="A49" s="70" t="s">
        <v>84</v>
      </c>
      <c r="B49" s="71"/>
      <c r="C49" s="75">
        <f>'Kops a'!C43</f>
        <v>0</v>
      </c>
      <c r="D49" s="39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</row>
    <row r="50" spans="1:16" x14ac:dyDescent="0.2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</row>
  </sheetData>
  <mergeCells count="22">
    <mergeCell ref="E12:E13"/>
    <mergeCell ref="C46:H46"/>
    <mergeCell ref="C47:H47"/>
    <mergeCell ref="C41:H41"/>
    <mergeCell ref="C42:H42"/>
    <mergeCell ref="A38:K38"/>
    <mergeCell ref="C2:I2"/>
    <mergeCell ref="C3:I3"/>
    <mergeCell ref="C4:I4"/>
    <mergeCell ref="A9:F9"/>
    <mergeCell ref="F12:K12"/>
    <mergeCell ref="J9:M9"/>
    <mergeCell ref="L12:P12"/>
    <mergeCell ref="A12:A13"/>
    <mergeCell ref="B12:B13"/>
    <mergeCell ref="C12:C13"/>
    <mergeCell ref="D12:D13"/>
    <mergeCell ref="N9:O9"/>
    <mergeCell ref="D5:L5"/>
    <mergeCell ref="D6:L6"/>
    <mergeCell ref="D7:L7"/>
    <mergeCell ref="D8:L8"/>
  </mergeCells>
  <conditionalFormatting sqref="A14:G37 I14:J37">
    <cfRule type="cellIs" dxfId="384" priority="19" operator="equal">
      <formula>0</formula>
    </cfRule>
  </conditionalFormatting>
  <conditionalFormatting sqref="N9:O9">
    <cfRule type="cellIs" dxfId="383" priority="17" operator="equal">
      <formula>0</formula>
    </cfRule>
  </conditionalFormatting>
  <conditionalFormatting sqref="A9:F9">
    <cfRule type="containsText" dxfId="382" priority="15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381" priority="14" operator="equal">
      <formula>0</formula>
    </cfRule>
  </conditionalFormatting>
  <conditionalFormatting sqref="O10:P10">
    <cfRule type="cellIs" dxfId="380" priority="13" operator="equal">
      <formula>"20__. gada __. _________"</formula>
    </cfRule>
  </conditionalFormatting>
  <conditionalFormatting sqref="A38:K38">
    <cfRule type="containsText" dxfId="379" priority="11" operator="containsText" text="Tiešās izmaksas kopā, t. sk. darba devēja sociālais nodoklis __.__% ">
      <formula>NOT(ISERROR(SEARCH("Tiešās izmaksas kopā, t. sk. darba devēja sociālais nodoklis __.__% ",A38)))</formula>
    </cfRule>
  </conditionalFormatting>
  <conditionalFormatting sqref="C46:H46">
    <cfRule type="cellIs" dxfId="378" priority="8" operator="equal">
      <formula>0</formula>
    </cfRule>
  </conditionalFormatting>
  <conditionalFormatting sqref="C41:H41">
    <cfRule type="cellIs" dxfId="377" priority="7" operator="equal">
      <formula>0</formula>
    </cfRule>
  </conditionalFormatting>
  <conditionalFormatting sqref="H14:H37 K14:P37 L29:P38">
    <cfRule type="cellIs" dxfId="376" priority="6" operator="equal">
      <formula>0</formula>
    </cfRule>
  </conditionalFormatting>
  <conditionalFormatting sqref="C4:I4">
    <cfRule type="cellIs" dxfId="375" priority="5" operator="equal">
      <formula>0</formula>
    </cfRule>
  </conditionalFormatting>
  <conditionalFormatting sqref="D5:L8">
    <cfRule type="cellIs" dxfId="374" priority="3" operator="equal">
      <formula>0</formula>
    </cfRule>
  </conditionalFormatting>
  <conditionalFormatting sqref="C46:H46 C49 C41:H41">
    <cfRule type="cellIs" dxfId="373" priority="2" operator="equal">
      <formula>0</formula>
    </cfRule>
  </conditionalFormatting>
  <conditionalFormatting sqref="D1">
    <cfRule type="cellIs" dxfId="372" priority="1" operator="equal">
      <formula>0</formula>
    </cfRule>
  </conditionalFormatting>
  <pageMargins left="0.7" right="0.7" top="0.75" bottom="0.75" header="0.3" footer="0.3"/>
  <pageSetup paperSize="9" scale="8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BC596309-6EE4-47E0-A590-F3D2F6DA868B}">
            <xm:f>NOT(ISERROR(SEARCH("Tāme sastādīta ____. gada ___. ______________",A44)))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A44</xm:sqref>
        </x14:conditionalFormatting>
        <x14:conditionalFormatting xmlns:xm="http://schemas.microsoft.com/office/excel/2006/main">
          <x14:cfRule type="containsText" priority="9" operator="containsText" id="{A5053C80-E745-4777-A201-BBBD02E74FC0}">
            <xm:f>NOT(ISERROR(SEARCH("Sertifikāta Nr. _________________________________",A49)))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P106"/>
  <sheetViews>
    <sheetView zoomScaleNormal="100" zoomScaleSheetLayoutView="100" workbookViewId="0">
      <selection activeCell="D5" sqref="D5:L5"/>
    </sheetView>
  </sheetViews>
  <sheetFormatPr defaultColWidth="9.109375" defaultRowHeight="10.199999999999999" x14ac:dyDescent="0.2"/>
  <cols>
    <col min="1" max="1" width="4.5546875" style="1" customWidth="1"/>
    <col min="2" max="2" width="9.44140625" style="1" bestFit="1" customWidth="1"/>
    <col min="3" max="3" width="38.44140625" style="1" customWidth="1"/>
    <col min="4" max="4" width="5.88671875" style="1" customWidth="1"/>
    <col min="5" max="5" width="8.6640625" style="1" customWidth="1"/>
    <col min="6" max="6" width="4.88671875" style="1" bestFit="1" customWidth="1"/>
    <col min="7" max="7" width="4.88671875" style="1" customWidth="1"/>
    <col min="8" max="9" width="5.6640625" style="1" bestFit="1" customWidth="1"/>
    <col min="10" max="10" width="4.88671875" style="1" bestFit="1" customWidth="1"/>
    <col min="11" max="11" width="5.6640625" style="1" bestFit="1" customWidth="1"/>
    <col min="12" max="12" width="6.5546875" style="1" bestFit="1" customWidth="1"/>
    <col min="13" max="13" width="7.44140625" style="1" bestFit="1" customWidth="1"/>
    <col min="14" max="14" width="6.5546875" style="1" bestFit="1" customWidth="1"/>
    <col min="15" max="15" width="7" style="1" bestFit="1" customWidth="1"/>
    <col min="16" max="16" width="9" style="1" customWidth="1"/>
    <col min="17" max="16384" width="9.109375" style="1"/>
  </cols>
  <sheetData>
    <row r="1" spans="1:16" x14ac:dyDescent="0.2">
      <c r="A1" s="19"/>
      <c r="B1" s="19"/>
      <c r="C1" s="23" t="s">
        <v>39</v>
      </c>
      <c r="D1" s="40">
        <f>'Kops a'!A16</f>
        <v>0</v>
      </c>
      <c r="E1" s="19"/>
      <c r="F1" s="19"/>
      <c r="G1" s="19"/>
      <c r="H1" s="19"/>
      <c r="I1" s="19"/>
      <c r="J1" s="19"/>
      <c r="N1" s="22"/>
      <c r="O1" s="23"/>
      <c r="P1" s="24"/>
    </row>
    <row r="2" spans="1:16" x14ac:dyDescent="0.2">
      <c r="A2" s="25"/>
      <c r="B2" s="25"/>
      <c r="C2" s="264" t="s">
        <v>85</v>
      </c>
      <c r="D2" s="264"/>
      <c r="E2" s="264"/>
      <c r="F2" s="264"/>
      <c r="G2" s="264"/>
      <c r="H2" s="264"/>
      <c r="I2" s="264"/>
      <c r="J2" s="25"/>
    </row>
    <row r="3" spans="1:16" x14ac:dyDescent="0.2">
      <c r="A3" s="26"/>
      <c r="B3" s="26"/>
      <c r="C3" s="225" t="s">
        <v>23</v>
      </c>
      <c r="D3" s="225"/>
      <c r="E3" s="225"/>
      <c r="F3" s="225"/>
      <c r="G3" s="225"/>
      <c r="H3" s="225"/>
      <c r="I3" s="225"/>
      <c r="J3" s="26"/>
    </row>
    <row r="4" spans="1:16" x14ac:dyDescent="0.2">
      <c r="A4" s="26"/>
      <c r="B4" s="26"/>
      <c r="C4" s="265" t="s">
        <v>5</v>
      </c>
      <c r="D4" s="265"/>
      <c r="E4" s="265"/>
      <c r="F4" s="265"/>
      <c r="G4" s="265"/>
      <c r="H4" s="265"/>
      <c r="I4" s="265"/>
      <c r="J4" s="26"/>
    </row>
    <row r="5" spans="1:16" x14ac:dyDescent="0.2">
      <c r="A5" s="19"/>
      <c r="B5" s="19"/>
      <c r="C5" s="23" t="s">
        <v>6</v>
      </c>
      <c r="D5" s="278" t="str">
        <f>'Kops a'!D6</f>
        <v>DAUDZDZĪVOKĻU DZĪVOJAMĀ ĒKA</v>
      </c>
      <c r="E5" s="278"/>
      <c r="F5" s="278"/>
      <c r="G5" s="278"/>
      <c r="H5" s="278"/>
      <c r="I5" s="278"/>
      <c r="J5" s="278"/>
      <c r="K5" s="278"/>
      <c r="L5" s="278"/>
      <c r="M5" s="14"/>
      <c r="N5" s="14"/>
      <c r="O5" s="14"/>
      <c r="P5" s="14"/>
    </row>
    <row r="6" spans="1:16" x14ac:dyDescent="0.2">
      <c r="A6" s="19"/>
      <c r="B6" s="19"/>
      <c r="C6" s="23" t="s">
        <v>8</v>
      </c>
      <c r="D6" s="278" t="str">
        <f>'Kops a'!D7</f>
        <v>ENERGOEFEKTIVITĀTES PAAUGSTINĀŠANA DAUDZDZĪVOKĻU DZĪVOJAMAI ĒKAI</v>
      </c>
      <c r="E6" s="278"/>
      <c r="F6" s="278"/>
      <c r="G6" s="278"/>
      <c r="H6" s="278"/>
      <c r="I6" s="278"/>
      <c r="J6" s="278"/>
      <c r="K6" s="278"/>
      <c r="L6" s="278"/>
      <c r="M6" s="14"/>
      <c r="N6" s="14"/>
      <c r="O6" s="14"/>
      <c r="P6" s="14"/>
    </row>
    <row r="7" spans="1:16" x14ac:dyDescent="0.2">
      <c r="A7" s="19"/>
      <c r="B7" s="19"/>
      <c r="C7" s="23" t="s">
        <v>10</v>
      </c>
      <c r="D7" s="278" t="str">
        <f>'Kops a'!D8</f>
        <v>Mātera iela 23/25, Jelgava, ēkas kad. apz. 0900 001 0126 001</v>
      </c>
      <c r="E7" s="278"/>
      <c r="F7" s="278"/>
      <c r="G7" s="278"/>
      <c r="H7" s="278"/>
      <c r="I7" s="278"/>
      <c r="J7" s="278"/>
      <c r="K7" s="278"/>
      <c r="L7" s="278"/>
      <c r="M7" s="14"/>
      <c r="N7" s="14"/>
      <c r="O7" s="14"/>
      <c r="P7" s="14"/>
    </row>
    <row r="8" spans="1:16" x14ac:dyDescent="0.2">
      <c r="A8" s="19"/>
      <c r="B8" s="19"/>
      <c r="C8" s="210" t="s">
        <v>26</v>
      </c>
      <c r="D8" s="278">
        <f>'Kops a'!D9</f>
        <v>0</v>
      </c>
      <c r="E8" s="278"/>
      <c r="F8" s="278"/>
      <c r="G8" s="278"/>
      <c r="H8" s="278"/>
      <c r="I8" s="278"/>
      <c r="J8" s="278"/>
      <c r="K8" s="278"/>
      <c r="L8" s="278"/>
      <c r="M8" s="14"/>
      <c r="N8" s="14"/>
      <c r="O8" s="14"/>
      <c r="P8" s="14"/>
    </row>
    <row r="9" spans="1:16" ht="11.25" customHeight="1" x14ac:dyDescent="0.2">
      <c r="A9" s="266" t="s">
        <v>86</v>
      </c>
      <c r="B9" s="266"/>
      <c r="C9" s="266"/>
      <c r="D9" s="266"/>
      <c r="E9" s="266"/>
      <c r="F9" s="266"/>
      <c r="G9" s="27"/>
      <c r="H9" s="27"/>
      <c r="I9" s="27"/>
      <c r="J9" s="270" t="s">
        <v>42</v>
      </c>
      <c r="K9" s="270"/>
      <c r="L9" s="270"/>
      <c r="M9" s="270"/>
      <c r="N9" s="277">
        <f>P94</f>
        <v>0</v>
      </c>
      <c r="O9" s="277"/>
      <c r="P9" s="27"/>
    </row>
    <row r="10" spans="1:16" x14ac:dyDescent="0.2">
      <c r="A10" s="28"/>
      <c r="B10" s="29"/>
      <c r="C10" s="210"/>
      <c r="D10" s="19"/>
      <c r="E10" s="19"/>
      <c r="F10" s="19"/>
      <c r="G10" s="19"/>
      <c r="H10" s="19"/>
      <c r="I10" s="19"/>
      <c r="J10" s="19"/>
      <c r="K10" s="19"/>
      <c r="L10" s="25"/>
      <c r="M10" s="25"/>
      <c r="O10" s="73"/>
      <c r="P10" s="72" t="str">
        <f>A100</f>
        <v>Tāme sastādīta</v>
      </c>
    </row>
    <row r="11" spans="1:16" ht="10.8" thickBot="1" x14ac:dyDescent="0.25">
      <c r="A11" s="28"/>
      <c r="B11" s="29"/>
      <c r="C11" s="210"/>
      <c r="D11" s="19"/>
      <c r="E11" s="19"/>
      <c r="F11" s="19"/>
      <c r="G11" s="19"/>
      <c r="H11" s="19"/>
      <c r="I11" s="19"/>
      <c r="J11" s="19"/>
      <c r="K11" s="19"/>
      <c r="L11" s="30"/>
      <c r="M11" s="30"/>
      <c r="N11" s="31"/>
      <c r="O11" s="22"/>
      <c r="P11" s="19"/>
    </row>
    <row r="12" spans="1:16" x14ac:dyDescent="0.2">
      <c r="A12" s="236" t="s">
        <v>29</v>
      </c>
      <c r="B12" s="272" t="s">
        <v>43</v>
      </c>
      <c r="C12" s="268" t="s">
        <v>44</v>
      </c>
      <c r="D12" s="275" t="s">
        <v>45</v>
      </c>
      <c r="E12" s="279" t="s">
        <v>46</v>
      </c>
      <c r="F12" s="267" t="s">
        <v>47</v>
      </c>
      <c r="G12" s="268"/>
      <c r="H12" s="268"/>
      <c r="I12" s="268"/>
      <c r="J12" s="268"/>
      <c r="K12" s="269"/>
      <c r="L12" s="267" t="s">
        <v>48</v>
      </c>
      <c r="M12" s="268"/>
      <c r="N12" s="268"/>
      <c r="O12" s="268"/>
      <c r="P12" s="269"/>
    </row>
    <row r="13" spans="1:16" ht="126.75" customHeight="1" thickBot="1" x14ac:dyDescent="0.25">
      <c r="A13" s="271"/>
      <c r="B13" s="273"/>
      <c r="C13" s="274"/>
      <c r="D13" s="276"/>
      <c r="E13" s="280"/>
      <c r="F13" s="214" t="s">
        <v>49</v>
      </c>
      <c r="G13" s="215" t="s">
        <v>50</v>
      </c>
      <c r="H13" s="215" t="s">
        <v>51</v>
      </c>
      <c r="I13" s="215" t="s">
        <v>52</v>
      </c>
      <c r="J13" s="215" t="s">
        <v>53</v>
      </c>
      <c r="K13" s="51" t="s">
        <v>54</v>
      </c>
      <c r="L13" s="214" t="s">
        <v>49</v>
      </c>
      <c r="M13" s="215" t="s">
        <v>51</v>
      </c>
      <c r="N13" s="215" t="s">
        <v>52</v>
      </c>
      <c r="O13" s="215" t="s">
        <v>53</v>
      </c>
      <c r="P13" s="51" t="s">
        <v>54</v>
      </c>
    </row>
    <row r="14" spans="1:16" ht="13.2" x14ac:dyDescent="0.2">
      <c r="A14" s="144"/>
      <c r="B14" s="145"/>
      <c r="C14" s="146" t="s">
        <v>87</v>
      </c>
      <c r="D14" s="147"/>
      <c r="E14" s="148"/>
      <c r="F14" s="149"/>
      <c r="G14" s="150"/>
      <c r="H14" s="151"/>
      <c r="I14" s="150"/>
      <c r="J14" s="150"/>
      <c r="K14" s="150"/>
      <c r="L14" s="106"/>
      <c r="M14" s="89"/>
      <c r="N14" s="89"/>
      <c r="O14" s="89"/>
      <c r="P14" s="90"/>
    </row>
    <row r="15" spans="1:16" ht="13.2" x14ac:dyDescent="0.2">
      <c r="A15" s="152">
        <v>1</v>
      </c>
      <c r="B15" s="153" t="s">
        <v>56</v>
      </c>
      <c r="C15" s="154" t="s">
        <v>88</v>
      </c>
      <c r="D15" s="155" t="s">
        <v>62</v>
      </c>
      <c r="E15" s="156">
        <v>1</v>
      </c>
      <c r="F15" s="133"/>
      <c r="G15" s="134"/>
      <c r="H15" s="135">
        <f t="shared" ref="H15:H30" si="0">ROUND(F15*G15,2)</f>
        <v>0</v>
      </c>
      <c r="I15" s="134"/>
      <c r="J15" s="134"/>
      <c r="K15" s="134">
        <f t="shared" ref="K15:K30" si="1">ROUND(H15+J15+I15,2)</f>
        <v>0</v>
      </c>
      <c r="L15" s="105">
        <f t="shared" ref="L15" si="2">ROUND(E15*F15,2)</f>
        <v>0</v>
      </c>
      <c r="M15" s="87">
        <f t="shared" ref="M15" si="3">ROUND(E15*H15,2)</f>
        <v>0</v>
      </c>
      <c r="N15" s="87">
        <f t="shared" ref="N15" si="4">ROUND(E15*I15,2)</f>
        <v>0</v>
      </c>
      <c r="O15" s="87">
        <f t="shared" ref="O15" si="5">ROUND(E15*J15,2)</f>
        <v>0</v>
      </c>
      <c r="P15" s="88">
        <f t="shared" ref="P15" si="6">ROUND(O15+N15+M15,2)</f>
        <v>0</v>
      </c>
    </row>
    <row r="16" spans="1:16" ht="13.2" x14ac:dyDescent="0.2">
      <c r="A16" s="152">
        <v>2</v>
      </c>
      <c r="B16" s="153" t="s">
        <v>56</v>
      </c>
      <c r="C16" s="154" t="s">
        <v>89</v>
      </c>
      <c r="D16" s="155" t="s">
        <v>58</v>
      </c>
      <c r="E16" s="156">
        <v>8</v>
      </c>
      <c r="F16" s="133"/>
      <c r="G16" s="134"/>
      <c r="H16" s="135">
        <f t="shared" si="0"/>
        <v>0</v>
      </c>
      <c r="I16" s="134"/>
      <c r="J16" s="134"/>
      <c r="K16" s="134">
        <f t="shared" si="1"/>
        <v>0</v>
      </c>
      <c r="L16" s="105">
        <f t="shared" ref="L16:L79" si="7">ROUND(E16*F16,2)</f>
        <v>0</v>
      </c>
      <c r="M16" s="87">
        <f t="shared" ref="M16:M79" si="8">ROUND(E16*H16,2)</f>
        <v>0</v>
      </c>
      <c r="N16" s="87">
        <f t="shared" ref="N16:N79" si="9">ROUND(E16*I16,2)</f>
        <v>0</v>
      </c>
      <c r="O16" s="87">
        <f t="shared" ref="O16:O79" si="10">ROUND(E16*J16,2)</f>
        <v>0</v>
      </c>
      <c r="P16" s="88">
        <f t="shared" ref="P16:P79" si="11">ROUND(O16+N16+M16,2)</f>
        <v>0</v>
      </c>
    </row>
    <row r="17" spans="1:16" ht="26.4" x14ac:dyDescent="0.2">
      <c r="A17" s="152">
        <v>3</v>
      </c>
      <c r="B17" s="153" t="s">
        <v>56</v>
      </c>
      <c r="C17" s="154" t="s">
        <v>90</v>
      </c>
      <c r="D17" s="155" t="s">
        <v>58</v>
      </c>
      <c r="E17" s="156">
        <v>6.6</v>
      </c>
      <c r="F17" s="133"/>
      <c r="G17" s="134"/>
      <c r="H17" s="135">
        <f t="shared" si="0"/>
        <v>0</v>
      </c>
      <c r="I17" s="134"/>
      <c r="J17" s="134"/>
      <c r="K17" s="134">
        <f t="shared" si="1"/>
        <v>0</v>
      </c>
      <c r="L17" s="105">
        <f t="shared" si="7"/>
        <v>0</v>
      </c>
      <c r="M17" s="87">
        <f t="shared" si="8"/>
        <v>0</v>
      </c>
      <c r="N17" s="87">
        <f t="shared" si="9"/>
        <v>0</v>
      </c>
      <c r="O17" s="87">
        <f t="shared" si="10"/>
        <v>0</v>
      </c>
      <c r="P17" s="88">
        <f t="shared" si="11"/>
        <v>0</v>
      </c>
    </row>
    <row r="18" spans="1:16" ht="13.2" x14ac:dyDescent="0.2">
      <c r="A18" s="152">
        <v>4</v>
      </c>
      <c r="B18" s="153" t="s">
        <v>56</v>
      </c>
      <c r="C18" s="154" t="s">
        <v>91</v>
      </c>
      <c r="D18" s="155" t="s">
        <v>62</v>
      </c>
      <c r="E18" s="156">
        <v>4</v>
      </c>
      <c r="F18" s="133"/>
      <c r="G18" s="134"/>
      <c r="H18" s="135">
        <f t="shared" si="0"/>
        <v>0</v>
      </c>
      <c r="I18" s="134"/>
      <c r="J18" s="134"/>
      <c r="K18" s="134">
        <f t="shared" si="1"/>
        <v>0</v>
      </c>
      <c r="L18" s="105">
        <f t="shared" si="7"/>
        <v>0</v>
      </c>
      <c r="M18" s="87">
        <f t="shared" si="8"/>
        <v>0</v>
      </c>
      <c r="N18" s="87">
        <f t="shared" si="9"/>
        <v>0</v>
      </c>
      <c r="O18" s="87">
        <f t="shared" si="10"/>
        <v>0</v>
      </c>
      <c r="P18" s="88">
        <f t="shared" si="11"/>
        <v>0</v>
      </c>
    </row>
    <row r="19" spans="1:16" ht="13.2" x14ac:dyDescent="0.2">
      <c r="A19" s="152">
        <v>5</v>
      </c>
      <c r="B19" s="153" t="s">
        <v>56</v>
      </c>
      <c r="C19" s="154" t="s">
        <v>92</v>
      </c>
      <c r="D19" s="155" t="s">
        <v>58</v>
      </c>
      <c r="E19" s="156">
        <v>22</v>
      </c>
      <c r="F19" s="133"/>
      <c r="G19" s="134"/>
      <c r="H19" s="135">
        <f t="shared" si="0"/>
        <v>0</v>
      </c>
      <c r="I19" s="134"/>
      <c r="J19" s="134"/>
      <c r="K19" s="134">
        <f t="shared" si="1"/>
        <v>0</v>
      </c>
      <c r="L19" s="105">
        <f t="shared" si="7"/>
        <v>0</v>
      </c>
      <c r="M19" s="87">
        <f t="shared" si="8"/>
        <v>0</v>
      </c>
      <c r="N19" s="87">
        <f t="shared" si="9"/>
        <v>0</v>
      </c>
      <c r="O19" s="87">
        <f t="shared" si="10"/>
        <v>0</v>
      </c>
      <c r="P19" s="88">
        <f t="shared" si="11"/>
        <v>0</v>
      </c>
    </row>
    <row r="20" spans="1:16" ht="39.6" x14ac:dyDescent="0.2">
      <c r="A20" s="152">
        <v>6</v>
      </c>
      <c r="B20" s="153" t="s">
        <v>56</v>
      </c>
      <c r="C20" s="154" t="s">
        <v>93</v>
      </c>
      <c r="D20" s="155" t="s">
        <v>62</v>
      </c>
      <c r="E20" s="156">
        <v>1</v>
      </c>
      <c r="F20" s="133"/>
      <c r="G20" s="134"/>
      <c r="H20" s="135">
        <f t="shared" si="0"/>
        <v>0</v>
      </c>
      <c r="I20" s="134"/>
      <c r="J20" s="134"/>
      <c r="K20" s="134">
        <f t="shared" si="1"/>
        <v>0</v>
      </c>
      <c r="L20" s="105">
        <f t="shared" si="7"/>
        <v>0</v>
      </c>
      <c r="M20" s="87">
        <f t="shared" si="8"/>
        <v>0</v>
      </c>
      <c r="N20" s="87">
        <f t="shared" si="9"/>
        <v>0</v>
      </c>
      <c r="O20" s="87">
        <f t="shared" si="10"/>
        <v>0</v>
      </c>
      <c r="P20" s="88">
        <f t="shared" si="11"/>
        <v>0</v>
      </c>
    </row>
    <row r="21" spans="1:16" ht="39.6" x14ac:dyDescent="0.2">
      <c r="A21" s="152">
        <v>7</v>
      </c>
      <c r="B21" s="153" t="s">
        <v>56</v>
      </c>
      <c r="C21" s="154" t="s">
        <v>94</v>
      </c>
      <c r="D21" s="155" t="s">
        <v>62</v>
      </c>
      <c r="E21" s="156">
        <v>1</v>
      </c>
      <c r="F21" s="133"/>
      <c r="G21" s="134"/>
      <c r="H21" s="135">
        <f t="shared" si="0"/>
        <v>0</v>
      </c>
      <c r="I21" s="134"/>
      <c r="J21" s="134"/>
      <c r="K21" s="134">
        <f t="shared" si="1"/>
        <v>0</v>
      </c>
      <c r="L21" s="105">
        <f t="shared" si="7"/>
        <v>0</v>
      </c>
      <c r="M21" s="87">
        <f t="shared" si="8"/>
        <v>0</v>
      </c>
      <c r="N21" s="87">
        <f t="shared" si="9"/>
        <v>0</v>
      </c>
      <c r="O21" s="87">
        <f t="shared" si="10"/>
        <v>0</v>
      </c>
      <c r="P21" s="88">
        <f t="shared" si="11"/>
        <v>0</v>
      </c>
    </row>
    <row r="22" spans="1:16" ht="26.4" x14ac:dyDescent="0.2">
      <c r="A22" s="152">
        <v>8</v>
      </c>
      <c r="B22" s="153" t="s">
        <v>56</v>
      </c>
      <c r="C22" s="154" t="s">
        <v>95</v>
      </c>
      <c r="D22" s="155" t="s">
        <v>58</v>
      </c>
      <c r="E22" s="156">
        <v>7.9</v>
      </c>
      <c r="F22" s="133"/>
      <c r="G22" s="134"/>
      <c r="H22" s="135">
        <f t="shared" si="0"/>
        <v>0</v>
      </c>
      <c r="I22" s="134"/>
      <c r="J22" s="134"/>
      <c r="K22" s="134">
        <f t="shared" si="1"/>
        <v>0</v>
      </c>
      <c r="L22" s="105">
        <f t="shared" si="7"/>
        <v>0</v>
      </c>
      <c r="M22" s="87">
        <f t="shared" si="8"/>
        <v>0</v>
      </c>
      <c r="N22" s="87">
        <f t="shared" si="9"/>
        <v>0</v>
      </c>
      <c r="O22" s="87">
        <f t="shared" si="10"/>
        <v>0</v>
      </c>
      <c r="P22" s="88">
        <f t="shared" si="11"/>
        <v>0</v>
      </c>
    </row>
    <row r="23" spans="1:16" ht="13.2" x14ac:dyDescent="0.2">
      <c r="A23" s="152">
        <v>9</v>
      </c>
      <c r="B23" s="153" t="s">
        <v>56</v>
      </c>
      <c r="C23" s="154" t="s">
        <v>96</v>
      </c>
      <c r="D23" s="155" t="s">
        <v>62</v>
      </c>
      <c r="E23" s="156">
        <v>1</v>
      </c>
      <c r="F23" s="133"/>
      <c r="G23" s="134"/>
      <c r="H23" s="135">
        <f t="shared" si="0"/>
        <v>0</v>
      </c>
      <c r="I23" s="134"/>
      <c r="J23" s="134"/>
      <c r="K23" s="134">
        <f t="shared" si="1"/>
        <v>0</v>
      </c>
      <c r="L23" s="105">
        <f t="shared" si="7"/>
        <v>0</v>
      </c>
      <c r="M23" s="87">
        <f t="shared" si="8"/>
        <v>0</v>
      </c>
      <c r="N23" s="87">
        <f t="shared" si="9"/>
        <v>0</v>
      </c>
      <c r="O23" s="87">
        <f t="shared" si="10"/>
        <v>0</v>
      </c>
      <c r="P23" s="88">
        <f t="shared" si="11"/>
        <v>0</v>
      </c>
    </row>
    <row r="24" spans="1:16" ht="13.2" x14ac:dyDescent="0.2">
      <c r="A24" s="152">
        <v>10</v>
      </c>
      <c r="B24" s="153" t="s">
        <v>56</v>
      </c>
      <c r="C24" s="154" t="s">
        <v>97</v>
      </c>
      <c r="D24" s="155" t="s">
        <v>70</v>
      </c>
      <c r="E24" s="156">
        <v>17</v>
      </c>
      <c r="F24" s="133"/>
      <c r="G24" s="134"/>
      <c r="H24" s="135">
        <f t="shared" si="0"/>
        <v>0</v>
      </c>
      <c r="I24" s="134"/>
      <c r="J24" s="134"/>
      <c r="K24" s="134">
        <f t="shared" si="1"/>
        <v>0</v>
      </c>
      <c r="L24" s="105">
        <f t="shared" si="7"/>
        <v>0</v>
      </c>
      <c r="M24" s="87">
        <f t="shared" si="8"/>
        <v>0</v>
      </c>
      <c r="N24" s="87">
        <f t="shared" si="9"/>
        <v>0</v>
      </c>
      <c r="O24" s="87">
        <f t="shared" si="10"/>
        <v>0</v>
      </c>
      <c r="P24" s="88">
        <f t="shared" si="11"/>
        <v>0</v>
      </c>
    </row>
    <row r="25" spans="1:16" ht="26.4" x14ac:dyDescent="0.2">
      <c r="A25" s="152">
        <v>11</v>
      </c>
      <c r="B25" s="153" t="s">
        <v>56</v>
      </c>
      <c r="C25" s="154" t="s">
        <v>98</v>
      </c>
      <c r="D25" s="155" t="s">
        <v>58</v>
      </c>
      <c r="E25" s="156">
        <v>4.5</v>
      </c>
      <c r="F25" s="133"/>
      <c r="G25" s="134"/>
      <c r="H25" s="135">
        <f t="shared" si="0"/>
        <v>0</v>
      </c>
      <c r="I25" s="134"/>
      <c r="J25" s="134"/>
      <c r="K25" s="134">
        <f t="shared" si="1"/>
        <v>0</v>
      </c>
      <c r="L25" s="105">
        <f t="shared" si="7"/>
        <v>0</v>
      </c>
      <c r="M25" s="87">
        <f t="shared" si="8"/>
        <v>0</v>
      </c>
      <c r="N25" s="87">
        <f t="shared" si="9"/>
        <v>0</v>
      </c>
      <c r="O25" s="87">
        <f t="shared" si="10"/>
        <v>0</v>
      </c>
      <c r="P25" s="88">
        <f t="shared" si="11"/>
        <v>0</v>
      </c>
    </row>
    <row r="26" spans="1:16" ht="26.4" x14ac:dyDescent="0.2">
      <c r="A26" s="152">
        <v>12</v>
      </c>
      <c r="B26" s="153" t="s">
        <v>56</v>
      </c>
      <c r="C26" s="154" t="s">
        <v>99</v>
      </c>
      <c r="D26" s="155" t="s">
        <v>60</v>
      </c>
      <c r="E26" s="156">
        <v>1</v>
      </c>
      <c r="F26" s="133"/>
      <c r="G26" s="134"/>
      <c r="H26" s="135">
        <f t="shared" si="0"/>
        <v>0</v>
      </c>
      <c r="I26" s="134"/>
      <c r="J26" s="134"/>
      <c r="K26" s="134">
        <f t="shared" si="1"/>
        <v>0</v>
      </c>
      <c r="L26" s="105">
        <f t="shared" si="7"/>
        <v>0</v>
      </c>
      <c r="M26" s="87">
        <f t="shared" si="8"/>
        <v>0</v>
      </c>
      <c r="N26" s="87">
        <f t="shared" si="9"/>
        <v>0</v>
      </c>
      <c r="O26" s="87">
        <f t="shared" si="10"/>
        <v>0</v>
      </c>
      <c r="P26" s="88">
        <f t="shared" si="11"/>
        <v>0</v>
      </c>
    </row>
    <row r="27" spans="1:16" ht="26.4" x14ac:dyDescent="0.2">
      <c r="A27" s="152">
        <v>13</v>
      </c>
      <c r="B27" s="153" t="s">
        <v>56</v>
      </c>
      <c r="C27" s="154" t="s">
        <v>100</v>
      </c>
      <c r="D27" s="155" t="s">
        <v>58</v>
      </c>
      <c r="E27" s="156">
        <v>11</v>
      </c>
      <c r="F27" s="133"/>
      <c r="G27" s="134"/>
      <c r="H27" s="135">
        <f t="shared" si="0"/>
        <v>0</v>
      </c>
      <c r="I27" s="134"/>
      <c r="J27" s="134"/>
      <c r="K27" s="134">
        <f t="shared" si="1"/>
        <v>0</v>
      </c>
      <c r="L27" s="105">
        <f t="shared" si="7"/>
        <v>0</v>
      </c>
      <c r="M27" s="87">
        <f t="shared" si="8"/>
        <v>0</v>
      </c>
      <c r="N27" s="87">
        <f t="shared" si="9"/>
        <v>0</v>
      </c>
      <c r="O27" s="87">
        <f t="shared" si="10"/>
        <v>0</v>
      </c>
      <c r="P27" s="88">
        <f t="shared" si="11"/>
        <v>0</v>
      </c>
    </row>
    <row r="28" spans="1:16" ht="13.2" x14ac:dyDescent="0.2">
      <c r="A28" s="152">
        <v>14</v>
      </c>
      <c r="B28" s="153" t="s">
        <v>56</v>
      </c>
      <c r="C28" s="154" t="s">
        <v>101</v>
      </c>
      <c r="D28" s="155" t="s">
        <v>62</v>
      </c>
      <c r="E28" s="156">
        <v>1</v>
      </c>
      <c r="F28" s="133"/>
      <c r="G28" s="134"/>
      <c r="H28" s="135">
        <f t="shared" si="0"/>
        <v>0</v>
      </c>
      <c r="I28" s="134"/>
      <c r="J28" s="134"/>
      <c r="K28" s="134">
        <f t="shared" si="1"/>
        <v>0</v>
      </c>
      <c r="L28" s="105">
        <f t="shared" si="7"/>
        <v>0</v>
      </c>
      <c r="M28" s="87">
        <f t="shared" si="8"/>
        <v>0</v>
      </c>
      <c r="N28" s="87">
        <f t="shared" si="9"/>
        <v>0</v>
      </c>
      <c r="O28" s="87">
        <f t="shared" si="10"/>
        <v>0</v>
      </c>
      <c r="P28" s="88">
        <f t="shared" si="11"/>
        <v>0</v>
      </c>
    </row>
    <row r="29" spans="1:16" ht="13.2" x14ac:dyDescent="0.2">
      <c r="A29" s="152">
        <v>15</v>
      </c>
      <c r="B29" s="153" t="s">
        <v>56</v>
      </c>
      <c r="C29" s="154" t="s">
        <v>102</v>
      </c>
      <c r="D29" s="155" t="s">
        <v>103</v>
      </c>
      <c r="E29" s="156">
        <v>8</v>
      </c>
      <c r="F29" s="133"/>
      <c r="G29" s="134"/>
      <c r="H29" s="135">
        <f t="shared" si="0"/>
        <v>0</v>
      </c>
      <c r="I29" s="134"/>
      <c r="J29" s="134"/>
      <c r="K29" s="134">
        <f t="shared" si="1"/>
        <v>0</v>
      </c>
      <c r="L29" s="105">
        <f t="shared" si="7"/>
        <v>0</v>
      </c>
      <c r="M29" s="87">
        <f t="shared" si="8"/>
        <v>0</v>
      </c>
      <c r="N29" s="87">
        <f t="shared" si="9"/>
        <v>0</v>
      </c>
      <c r="O29" s="87">
        <f t="shared" si="10"/>
        <v>0</v>
      </c>
      <c r="P29" s="88">
        <f t="shared" si="11"/>
        <v>0</v>
      </c>
    </row>
    <row r="30" spans="1:16" ht="26.4" x14ac:dyDescent="0.2">
      <c r="A30" s="152">
        <v>16</v>
      </c>
      <c r="B30" s="153" t="s">
        <v>56</v>
      </c>
      <c r="C30" s="154" t="s">
        <v>104</v>
      </c>
      <c r="D30" s="155" t="s">
        <v>105</v>
      </c>
      <c r="E30" s="156">
        <v>8</v>
      </c>
      <c r="F30" s="133"/>
      <c r="G30" s="134"/>
      <c r="H30" s="135">
        <f t="shared" si="0"/>
        <v>0</v>
      </c>
      <c r="I30" s="134"/>
      <c r="J30" s="134"/>
      <c r="K30" s="134">
        <f t="shared" si="1"/>
        <v>0</v>
      </c>
      <c r="L30" s="105">
        <f t="shared" si="7"/>
        <v>0</v>
      </c>
      <c r="M30" s="87">
        <f t="shared" si="8"/>
        <v>0</v>
      </c>
      <c r="N30" s="87">
        <f t="shared" si="9"/>
        <v>0</v>
      </c>
      <c r="O30" s="87">
        <f t="shared" si="10"/>
        <v>0</v>
      </c>
      <c r="P30" s="88">
        <f t="shared" si="11"/>
        <v>0</v>
      </c>
    </row>
    <row r="31" spans="1:16" ht="13.2" x14ac:dyDescent="0.2">
      <c r="A31" s="128"/>
      <c r="B31" s="157"/>
      <c r="C31" s="158" t="s">
        <v>106</v>
      </c>
      <c r="D31" s="129"/>
      <c r="E31" s="159"/>
      <c r="F31" s="133"/>
      <c r="G31" s="134"/>
      <c r="H31" s="135"/>
      <c r="I31" s="134"/>
      <c r="J31" s="134"/>
      <c r="K31" s="134"/>
      <c r="L31" s="105"/>
      <c r="M31" s="87"/>
      <c r="N31" s="87"/>
      <c r="O31" s="87"/>
      <c r="P31" s="88"/>
    </row>
    <row r="32" spans="1:16" ht="13.2" x14ac:dyDescent="0.2">
      <c r="A32" s="152">
        <v>1</v>
      </c>
      <c r="B32" s="153" t="s">
        <v>56</v>
      </c>
      <c r="C32" s="154" t="s">
        <v>107</v>
      </c>
      <c r="D32" s="155" t="s">
        <v>62</v>
      </c>
      <c r="E32" s="156">
        <v>1</v>
      </c>
      <c r="F32" s="133"/>
      <c r="G32" s="134"/>
      <c r="H32" s="135">
        <f t="shared" ref="H32:H42" si="12">ROUND(F32*G32,2)</f>
        <v>0</v>
      </c>
      <c r="I32" s="134"/>
      <c r="J32" s="134"/>
      <c r="K32" s="134">
        <f t="shared" ref="K32:K42" si="13">ROUND(H32+J32+I32,2)</f>
        <v>0</v>
      </c>
      <c r="L32" s="105">
        <f t="shared" si="7"/>
        <v>0</v>
      </c>
      <c r="M32" s="87">
        <f t="shared" si="8"/>
        <v>0</v>
      </c>
      <c r="N32" s="87">
        <f t="shared" si="9"/>
        <v>0</v>
      </c>
      <c r="O32" s="87">
        <f t="shared" si="10"/>
        <v>0</v>
      </c>
      <c r="P32" s="88">
        <f t="shared" si="11"/>
        <v>0</v>
      </c>
    </row>
    <row r="33" spans="1:16" ht="13.2" x14ac:dyDescent="0.2">
      <c r="A33" s="152">
        <v>2</v>
      </c>
      <c r="B33" s="153" t="s">
        <v>56</v>
      </c>
      <c r="C33" s="154" t="s">
        <v>89</v>
      </c>
      <c r="D33" s="155" t="s">
        <v>58</v>
      </c>
      <c r="E33" s="156">
        <v>25.5</v>
      </c>
      <c r="F33" s="133"/>
      <c r="G33" s="134"/>
      <c r="H33" s="135">
        <f t="shared" si="12"/>
        <v>0</v>
      </c>
      <c r="I33" s="134"/>
      <c r="J33" s="134"/>
      <c r="K33" s="134">
        <f t="shared" si="13"/>
        <v>0</v>
      </c>
      <c r="L33" s="105">
        <f t="shared" si="7"/>
        <v>0</v>
      </c>
      <c r="M33" s="87">
        <f t="shared" si="8"/>
        <v>0</v>
      </c>
      <c r="N33" s="87">
        <f t="shared" si="9"/>
        <v>0</v>
      </c>
      <c r="O33" s="87">
        <f t="shared" si="10"/>
        <v>0</v>
      </c>
      <c r="P33" s="88">
        <f t="shared" si="11"/>
        <v>0</v>
      </c>
    </row>
    <row r="34" spans="1:16" ht="26.4" x14ac:dyDescent="0.2">
      <c r="A34" s="152">
        <v>3</v>
      </c>
      <c r="B34" s="153" t="s">
        <v>56</v>
      </c>
      <c r="C34" s="154" t="s">
        <v>90</v>
      </c>
      <c r="D34" s="155" t="s">
        <v>58</v>
      </c>
      <c r="E34" s="156">
        <v>22.2</v>
      </c>
      <c r="F34" s="133"/>
      <c r="G34" s="134"/>
      <c r="H34" s="135">
        <f t="shared" si="12"/>
        <v>0</v>
      </c>
      <c r="I34" s="134"/>
      <c r="J34" s="134"/>
      <c r="K34" s="134">
        <f t="shared" si="13"/>
        <v>0</v>
      </c>
      <c r="L34" s="105">
        <f t="shared" si="7"/>
        <v>0</v>
      </c>
      <c r="M34" s="87">
        <f t="shared" si="8"/>
        <v>0</v>
      </c>
      <c r="N34" s="87">
        <f t="shared" si="9"/>
        <v>0</v>
      </c>
      <c r="O34" s="87">
        <f t="shared" si="10"/>
        <v>0</v>
      </c>
      <c r="P34" s="88">
        <f t="shared" si="11"/>
        <v>0</v>
      </c>
    </row>
    <row r="35" spans="1:16" ht="13.2" x14ac:dyDescent="0.2">
      <c r="A35" s="152">
        <v>4</v>
      </c>
      <c r="B35" s="153" t="s">
        <v>56</v>
      </c>
      <c r="C35" s="154" t="s">
        <v>91</v>
      </c>
      <c r="D35" s="155" t="s">
        <v>62</v>
      </c>
      <c r="E35" s="156">
        <v>4</v>
      </c>
      <c r="F35" s="133"/>
      <c r="G35" s="134"/>
      <c r="H35" s="135">
        <f t="shared" si="12"/>
        <v>0</v>
      </c>
      <c r="I35" s="134"/>
      <c r="J35" s="134"/>
      <c r="K35" s="134">
        <f t="shared" si="13"/>
        <v>0</v>
      </c>
      <c r="L35" s="105">
        <f t="shared" si="7"/>
        <v>0</v>
      </c>
      <c r="M35" s="87">
        <f t="shared" si="8"/>
        <v>0</v>
      </c>
      <c r="N35" s="87">
        <f t="shared" si="9"/>
        <v>0</v>
      </c>
      <c r="O35" s="87">
        <f t="shared" si="10"/>
        <v>0</v>
      </c>
      <c r="P35" s="88">
        <f t="shared" si="11"/>
        <v>0</v>
      </c>
    </row>
    <row r="36" spans="1:16" ht="13.2" x14ac:dyDescent="0.2">
      <c r="A36" s="152">
        <v>5</v>
      </c>
      <c r="B36" s="153" t="s">
        <v>56</v>
      </c>
      <c r="C36" s="154" t="s">
        <v>92</v>
      </c>
      <c r="D36" s="155" t="s">
        <v>58</v>
      </c>
      <c r="E36" s="156">
        <v>22</v>
      </c>
      <c r="F36" s="133"/>
      <c r="G36" s="134"/>
      <c r="H36" s="135">
        <f t="shared" si="12"/>
        <v>0</v>
      </c>
      <c r="I36" s="134"/>
      <c r="J36" s="134"/>
      <c r="K36" s="134">
        <f t="shared" si="13"/>
        <v>0</v>
      </c>
      <c r="L36" s="105">
        <f t="shared" si="7"/>
        <v>0</v>
      </c>
      <c r="M36" s="87">
        <f t="shared" si="8"/>
        <v>0</v>
      </c>
      <c r="N36" s="87">
        <f t="shared" si="9"/>
        <v>0</v>
      </c>
      <c r="O36" s="87">
        <f t="shared" si="10"/>
        <v>0</v>
      </c>
      <c r="P36" s="88">
        <f t="shared" si="11"/>
        <v>0</v>
      </c>
    </row>
    <row r="37" spans="1:16" ht="39.6" x14ac:dyDescent="0.2">
      <c r="A37" s="152">
        <v>6</v>
      </c>
      <c r="B37" s="153" t="s">
        <v>56</v>
      </c>
      <c r="C37" s="154" t="s">
        <v>108</v>
      </c>
      <c r="D37" s="155" t="s">
        <v>60</v>
      </c>
      <c r="E37" s="156">
        <v>1</v>
      </c>
      <c r="F37" s="133"/>
      <c r="G37" s="134"/>
      <c r="H37" s="135">
        <f t="shared" si="12"/>
        <v>0</v>
      </c>
      <c r="I37" s="134"/>
      <c r="J37" s="134"/>
      <c r="K37" s="134">
        <f t="shared" si="13"/>
        <v>0</v>
      </c>
      <c r="L37" s="105">
        <f t="shared" si="7"/>
        <v>0</v>
      </c>
      <c r="M37" s="87">
        <f t="shared" si="8"/>
        <v>0</v>
      </c>
      <c r="N37" s="87">
        <f t="shared" si="9"/>
        <v>0</v>
      </c>
      <c r="O37" s="87">
        <f t="shared" si="10"/>
        <v>0</v>
      </c>
      <c r="P37" s="88">
        <f t="shared" si="11"/>
        <v>0</v>
      </c>
    </row>
    <row r="38" spans="1:16" ht="26.4" x14ac:dyDescent="0.2">
      <c r="A38" s="152">
        <v>7</v>
      </c>
      <c r="B38" s="153" t="s">
        <v>56</v>
      </c>
      <c r="C38" s="154" t="s">
        <v>109</v>
      </c>
      <c r="D38" s="155" t="s">
        <v>58</v>
      </c>
      <c r="E38" s="156">
        <v>7.9</v>
      </c>
      <c r="F38" s="133"/>
      <c r="G38" s="134"/>
      <c r="H38" s="135">
        <f t="shared" si="12"/>
        <v>0</v>
      </c>
      <c r="I38" s="134"/>
      <c r="J38" s="134"/>
      <c r="K38" s="134">
        <f t="shared" si="13"/>
        <v>0</v>
      </c>
      <c r="L38" s="105">
        <f t="shared" si="7"/>
        <v>0</v>
      </c>
      <c r="M38" s="87">
        <f t="shared" si="8"/>
        <v>0</v>
      </c>
      <c r="N38" s="87">
        <f t="shared" si="9"/>
        <v>0</v>
      </c>
      <c r="O38" s="87">
        <f t="shared" si="10"/>
        <v>0</v>
      </c>
      <c r="P38" s="88">
        <f t="shared" si="11"/>
        <v>0</v>
      </c>
    </row>
    <row r="39" spans="1:16" ht="52.8" x14ac:dyDescent="0.2">
      <c r="A39" s="152">
        <v>8</v>
      </c>
      <c r="B39" s="153" t="s">
        <v>56</v>
      </c>
      <c r="C39" s="154" t="s">
        <v>110</v>
      </c>
      <c r="D39" s="155" t="s">
        <v>60</v>
      </c>
      <c r="E39" s="156">
        <v>1</v>
      </c>
      <c r="F39" s="133"/>
      <c r="G39" s="134"/>
      <c r="H39" s="135">
        <f t="shared" si="12"/>
        <v>0</v>
      </c>
      <c r="I39" s="134"/>
      <c r="J39" s="134"/>
      <c r="K39" s="134">
        <f t="shared" si="13"/>
        <v>0</v>
      </c>
      <c r="L39" s="105">
        <f t="shared" si="7"/>
        <v>0</v>
      </c>
      <c r="M39" s="87">
        <f t="shared" si="8"/>
        <v>0</v>
      </c>
      <c r="N39" s="87">
        <f t="shared" si="9"/>
        <v>0</v>
      </c>
      <c r="O39" s="87">
        <f t="shared" si="10"/>
        <v>0</v>
      </c>
      <c r="P39" s="88">
        <f t="shared" si="11"/>
        <v>0</v>
      </c>
    </row>
    <row r="40" spans="1:16" ht="52.8" x14ac:dyDescent="0.2">
      <c r="A40" s="152">
        <v>9</v>
      </c>
      <c r="B40" s="153" t="s">
        <v>56</v>
      </c>
      <c r="C40" s="154" t="s">
        <v>111</v>
      </c>
      <c r="D40" s="155" t="s">
        <v>60</v>
      </c>
      <c r="E40" s="156">
        <v>1</v>
      </c>
      <c r="F40" s="133"/>
      <c r="G40" s="134"/>
      <c r="H40" s="135">
        <f t="shared" si="12"/>
        <v>0</v>
      </c>
      <c r="I40" s="134"/>
      <c r="J40" s="134"/>
      <c r="K40" s="134">
        <f t="shared" si="13"/>
        <v>0</v>
      </c>
      <c r="L40" s="105">
        <f t="shared" si="7"/>
        <v>0</v>
      </c>
      <c r="M40" s="87">
        <f t="shared" si="8"/>
        <v>0</v>
      </c>
      <c r="N40" s="87">
        <f t="shared" si="9"/>
        <v>0</v>
      </c>
      <c r="O40" s="87">
        <f t="shared" si="10"/>
        <v>0</v>
      </c>
      <c r="P40" s="88">
        <f t="shared" si="11"/>
        <v>0</v>
      </c>
    </row>
    <row r="41" spans="1:16" ht="13.2" x14ac:dyDescent="0.2">
      <c r="A41" s="152">
        <v>10</v>
      </c>
      <c r="B41" s="153" t="s">
        <v>56</v>
      </c>
      <c r="C41" s="154" t="s">
        <v>102</v>
      </c>
      <c r="D41" s="155" t="s">
        <v>103</v>
      </c>
      <c r="E41" s="156">
        <v>8</v>
      </c>
      <c r="F41" s="133"/>
      <c r="G41" s="134"/>
      <c r="H41" s="135">
        <f t="shared" si="12"/>
        <v>0</v>
      </c>
      <c r="I41" s="134"/>
      <c r="J41" s="134"/>
      <c r="K41" s="134">
        <f t="shared" si="13"/>
        <v>0</v>
      </c>
      <c r="L41" s="105">
        <f t="shared" si="7"/>
        <v>0</v>
      </c>
      <c r="M41" s="87">
        <f t="shared" si="8"/>
        <v>0</v>
      </c>
      <c r="N41" s="87">
        <f t="shared" si="9"/>
        <v>0</v>
      </c>
      <c r="O41" s="87">
        <f t="shared" si="10"/>
        <v>0</v>
      </c>
      <c r="P41" s="88">
        <f t="shared" si="11"/>
        <v>0</v>
      </c>
    </row>
    <row r="42" spans="1:16" ht="26.4" x14ac:dyDescent="0.2">
      <c r="A42" s="152">
        <v>11</v>
      </c>
      <c r="B42" s="153" t="s">
        <v>56</v>
      </c>
      <c r="C42" s="154" t="s">
        <v>104</v>
      </c>
      <c r="D42" s="155" t="s">
        <v>105</v>
      </c>
      <c r="E42" s="156">
        <v>8</v>
      </c>
      <c r="F42" s="133"/>
      <c r="G42" s="134"/>
      <c r="H42" s="135">
        <f t="shared" si="12"/>
        <v>0</v>
      </c>
      <c r="I42" s="134"/>
      <c r="J42" s="134"/>
      <c r="K42" s="134">
        <f t="shared" si="13"/>
        <v>0</v>
      </c>
      <c r="L42" s="105">
        <f t="shared" si="7"/>
        <v>0</v>
      </c>
      <c r="M42" s="87">
        <f t="shared" si="8"/>
        <v>0</v>
      </c>
      <c r="N42" s="87">
        <f t="shared" si="9"/>
        <v>0</v>
      </c>
      <c r="O42" s="87">
        <f t="shared" si="10"/>
        <v>0</v>
      </c>
      <c r="P42" s="88">
        <f t="shared" si="11"/>
        <v>0</v>
      </c>
    </row>
    <row r="43" spans="1:16" ht="13.2" x14ac:dyDescent="0.2">
      <c r="A43" s="128"/>
      <c r="B43" s="157"/>
      <c r="C43" s="158" t="s">
        <v>112</v>
      </c>
      <c r="D43" s="129"/>
      <c r="E43" s="159"/>
      <c r="F43" s="133"/>
      <c r="G43" s="134"/>
      <c r="H43" s="135"/>
      <c r="I43" s="134"/>
      <c r="J43" s="134"/>
      <c r="K43" s="134"/>
      <c r="L43" s="105"/>
      <c r="M43" s="87"/>
      <c r="N43" s="87"/>
      <c r="O43" s="87"/>
      <c r="P43" s="88"/>
    </row>
    <row r="44" spans="1:16" ht="13.2" x14ac:dyDescent="0.2">
      <c r="A44" s="152">
        <v>1</v>
      </c>
      <c r="B44" s="153" t="s">
        <v>56</v>
      </c>
      <c r="C44" s="154" t="s">
        <v>88</v>
      </c>
      <c r="D44" s="155" t="s">
        <v>62</v>
      </c>
      <c r="E44" s="156">
        <v>4</v>
      </c>
      <c r="F44" s="133"/>
      <c r="G44" s="134"/>
      <c r="H44" s="135">
        <f t="shared" ref="H44:H49" si="14">ROUND(F44*G44,2)</f>
        <v>0</v>
      </c>
      <c r="I44" s="134"/>
      <c r="J44" s="134"/>
      <c r="K44" s="134">
        <f t="shared" ref="K44:K49" si="15">ROUND(H44+J44+I44,2)</f>
        <v>0</v>
      </c>
      <c r="L44" s="105">
        <f t="shared" si="7"/>
        <v>0</v>
      </c>
      <c r="M44" s="87">
        <f t="shared" si="8"/>
        <v>0</v>
      </c>
      <c r="N44" s="87">
        <f t="shared" si="9"/>
        <v>0</v>
      </c>
      <c r="O44" s="87">
        <f t="shared" si="10"/>
        <v>0</v>
      </c>
      <c r="P44" s="88">
        <f t="shared" si="11"/>
        <v>0</v>
      </c>
    </row>
    <row r="45" spans="1:16" ht="13.2" x14ac:dyDescent="0.2">
      <c r="A45" s="152">
        <v>2</v>
      </c>
      <c r="B45" s="153" t="s">
        <v>56</v>
      </c>
      <c r="C45" s="154" t="s">
        <v>89</v>
      </c>
      <c r="D45" s="155" t="s">
        <v>58</v>
      </c>
      <c r="E45" s="156">
        <v>226.1</v>
      </c>
      <c r="F45" s="133"/>
      <c r="G45" s="134"/>
      <c r="H45" s="135">
        <f t="shared" si="14"/>
        <v>0</v>
      </c>
      <c r="I45" s="134"/>
      <c r="J45" s="134"/>
      <c r="K45" s="134">
        <f t="shared" si="15"/>
        <v>0</v>
      </c>
      <c r="L45" s="105">
        <f t="shared" si="7"/>
        <v>0</v>
      </c>
      <c r="M45" s="87">
        <f t="shared" si="8"/>
        <v>0</v>
      </c>
      <c r="N45" s="87">
        <f t="shared" si="9"/>
        <v>0</v>
      </c>
      <c r="O45" s="87">
        <f t="shared" si="10"/>
        <v>0</v>
      </c>
      <c r="P45" s="88">
        <f t="shared" si="11"/>
        <v>0</v>
      </c>
    </row>
    <row r="46" spans="1:16" ht="26.4" x14ac:dyDescent="0.2">
      <c r="A46" s="152">
        <v>3</v>
      </c>
      <c r="B46" s="153" t="s">
        <v>56</v>
      </c>
      <c r="C46" s="154" t="s">
        <v>90</v>
      </c>
      <c r="D46" s="155" t="s">
        <v>58</v>
      </c>
      <c r="E46" s="156">
        <v>213.9</v>
      </c>
      <c r="F46" s="133"/>
      <c r="G46" s="134"/>
      <c r="H46" s="135">
        <f t="shared" si="14"/>
        <v>0</v>
      </c>
      <c r="I46" s="134"/>
      <c r="J46" s="134"/>
      <c r="K46" s="134">
        <f t="shared" si="15"/>
        <v>0</v>
      </c>
      <c r="L46" s="105">
        <f t="shared" si="7"/>
        <v>0</v>
      </c>
      <c r="M46" s="87">
        <f t="shared" si="8"/>
        <v>0</v>
      </c>
      <c r="N46" s="87">
        <f t="shared" si="9"/>
        <v>0</v>
      </c>
      <c r="O46" s="87">
        <f t="shared" si="10"/>
        <v>0</v>
      </c>
      <c r="P46" s="88">
        <f t="shared" si="11"/>
        <v>0</v>
      </c>
    </row>
    <row r="47" spans="1:16" ht="26.4" x14ac:dyDescent="0.2">
      <c r="A47" s="152">
        <v>4</v>
      </c>
      <c r="B47" s="153" t="s">
        <v>56</v>
      </c>
      <c r="C47" s="154" t="s">
        <v>113</v>
      </c>
      <c r="D47" s="155" t="s">
        <v>58</v>
      </c>
      <c r="E47" s="156">
        <v>34.700000000000003</v>
      </c>
      <c r="F47" s="133"/>
      <c r="G47" s="134"/>
      <c r="H47" s="135">
        <f t="shared" si="14"/>
        <v>0</v>
      </c>
      <c r="I47" s="134"/>
      <c r="J47" s="134"/>
      <c r="K47" s="134">
        <f t="shared" si="15"/>
        <v>0</v>
      </c>
      <c r="L47" s="105">
        <f t="shared" si="7"/>
        <v>0</v>
      </c>
      <c r="M47" s="87">
        <f t="shared" si="8"/>
        <v>0</v>
      </c>
      <c r="N47" s="87">
        <f t="shared" si="9"/>
        <v>0</v>
      </c>
      <c r="O47" s="87">
        <f t="shared" si="10"/>
        <v>0</v>
      </c>
      <c r="P47" s="88">
        <f t="shared" si="11"/>
        <v>0</v>
      </c>
    </row>
    <row r="48" spans="1:16" ht="13.2" x14ac:dyDescent="0.2">
      <c r="A48" s="152">
        <v>5</v>
      </c>
      <c r="B48" s="153" t="s">
        <v>56</v>
      </c>
      <c r="C48" s="154" t="s">
        <v>114</v>
      </c>
      <c r="D48" s="155" t="s">
        <v>62</v>
      </c>
      <c r="E48" s="156">
        <v>40</v>
      </c>
      <c r="F48" s="133"/>
      <c r="G48" s="134"/>
      <c r="H48" s="135">
        <f t="shared" si="14"/>
        <v>0</v>
      </c>
      <c r="I48" s="134"/>
      <c r="J48" s="134"/>
      <c r="K48" s="134">
        <f t="shared" si="15"/>
        <v>0</v>
      </c>
      <c r="L48" s="105">
        <f t="shared" si="7"/>
        <v>0</v>
      </c>
      <c r="M48" s="87">
        <f t="shared" si="8"/>
        <v>0</v>
      </c>
      <c r="N48" s="87">
        <f t="shared" si="9"/>
        <v>0</v>
      </c>
      <c r="O48" s="87">
        <f t="shared" si="10"/>
        <v>0</v>
      </c>
      <c r="P48" s="88">
        <f t="shared" si="11"/>
        <v>0</v>
      </c>
    </row>
    <row r="49" spans="1:16" ht="39.6" x14ac:dyDescent="0.2">
      <c r="A49" s="152">
        <v>6</v>
      </c>
      <c r="B49" s="153" t="s">
        <v>56</v>
      </c>
      <c r="C49" s="154" t="s">
        <v>115</v>
      </c>
      <c r="D49" s="155" t="s">
        <v>60</v>
      </c>
      <c r="E49" s="156">
        <v>3</v>
      </c>
      <c r="F49" s="133"/>
      <c r="G49" s="134"/>
      <c r="H49" s="135">
        <f t="shared" si="14"/>
        <v>0</v>
      </c>
      <c r="I49" s="134"/>
      <c r="J49" s="134"/>
      <c r="K49" s="134">
        <f t="shared" si="15"/>
        <v>0</v>
      </c>
      <c r="L49" s="105">
        <f t="shared" si="7"/>
        <v>0</v>
      </c>
      <c r="M49" s="87">
        <f t="shared" si="8"/>
        <v>0</v>
      </c>
      <c r="N49" s="87">
        <f t="shared" si="9"/>
        <v>0</v>
      </c>
      <c r="O49" s="87">
        <f t="shared" si="10"/>
        <v>0</v>
      </c>
      <c r="P49" s="88">
        <f t="shared" si="11"/>
        <v>0</v>
      </c>
    </row>
    <row r="50" spans="1:16" ht="13.2" x14ac:dyDescent="0.2">
      <c r="A50" s="152">
        <v>7</v>
      </c>
      <c r="B50" s="153" t="s">
        <v>56</v>
      </c>
      <c r="C50" s="154" t="s">
        <v>116</v>
      </c>
      <c r="D50" s="155" t="s">
        <v>62</v>
      </c>
      <c r="E50" s="156">
        <v>29</v>
      </c>
      <c r="F50" s="133"/>
      <c r="G50" s="134"/>
      <c r="H50" s="135">
        <f>ROUND(F50*G50,2)</f>
        <v>0</v>
      </c>
      <c r="I50" s="134"/>
      <c r="J50" s="134"/>
      <c r="K50" s="134">
        <f>ROUND(H50+J50+I50,2)</f>
        <v>0</v>
      </c>
      <c r="L50" s="105">
        <f t="shared" si="7"/>
        <v>0</v>
      </c>
      <c r="M50" s="87">
        <f t="shared" si="8"/>
        <v>0</v>
      </c>
      <c r="N50" s="87">
        <f t="shared" si="9"/>
        <v>0</v>
      </c>
      <c r="O50" s="87">
        <f t="shared" si="10"/>
        <v>0</v>
      </c>
      <c r="P50" s="88">
        <f t="shared" si="11"/>
        <v>0</v>
      </c>
    </row>
    <row r="51" spans="1:16" ht="13.2" x14ac:dyDescent="0.2">
      <c r="A51" s="152">
        <v>8</v>
      </c>
      <c r="B51" s="153" t="s">
        <v>56</v>
      </c>
      <c r="C51" s="154" t="s">
        <v>117</v>
      </c>
      <c r="D51" s="155" t="s">
        <v>58</v>
      </c>
      <c r="E51" s="156">
        <v>201.8</v>
      </c>
      <c r="F51" s="133"/>
      <c r="G51" s="134"/>
      <c r="H51" s="135">
        <f>ROUND(F51*G51,2)</f>
        <v>0</v>
      </c>
      <c r="I51" s="134"/>
      <c r="J51" s="134"/>
      <c r="K51" s="134">
        <f>ROUND(H51+J51+I51,2)</f>
        <v>0</v>
      </c>
      <c r="L51" s="105">
        <f t="shared" si="7"/>
        <v>0</v>
      </c>
      <c r="M51" s="87">
        <f t="shared" si="8"/>
        <v>0</v>
      </c>
      <c r="N51" s="87">
        <f t="shared" si="9"/>
        <v>0</v>
      </c>
      <c r="O51" s="87">
        <f t="shared" si="10"/>
        <v>0</v>
      </c>
      <c r="P51" s="88">
        <f t="shared" si="11"/>
        <v>0</v>
      </c>
    </row>
    <row r="52" spans="1:16" ht="79.2" x14ac:dyDescent="0.2">
      <c r="A52" s="152">
        <v>9</v>
      </c>
      <c r="B52" s="153" t="s">
        <v>56</v>
      </c>
      <c r="C52" s="154" t="s">
        <v>118</v>
      </c>
      <c r="D52" s="155" t="s">
        <v>62</v>
      </c>
      <c r="E52" s="156">
        <v>1</v>
      </c>
      <c r="F52" s="133"/>
      <c r="G52" s="134"/>
      <c r="H52" s="135">
        <f t="shared" ref="H52:H93" si="16">ROUND(F52*G52,2)</f>
        <v>0</v>
      </c>
      <c r="I52" s="134"/>
      <c r="J52" s="134"/>
      <c r="K52" s="134">
        <f t="shared" ref="K52:K93" si="17">ROUND(H52+J52+I52,2)</f>
        <v>0</v>
      </c>
      <c r="L52" s="105">
        <f t="shared" si="7"/>
        <v>0</v>
      </c>
      <c r="M52" s="87">
        <f t="shared" si="8"/>
        <v>0</v>
      </c>
      <c r="N52" s="87">
        <f t="shared" si="9"/>
        <v>0</v>
      </c>
      <c r="O52" s="87">
        <f t="shared" si="10"/>
        <v>0</v>
      </c>
      <c r="P52" s="88">
        <f t="shared" si="11"/>
        <v>0</v>
      </c>
    </row>
    <row r="53" spans="1:16" ht="52.8" x14ac:dyDescent="0.2">
      <c r="A53" s="152">
        <v>10</v>
      </c>
      <c r="B53" s="153" t="s">
        <v>56</v>
      </c>
      <c r="C53" s="154" t="s">
        <v>119</v>
      </c>
      <c r="D53" s="155" t="s">
        <v>62</v>
      </c>
      <c r="E53" s="156">
        <v>1</v>
      </c>
      <c r="F53" s="133"/>
      <c r="G53" s="134"/>
      <c r="H53" s="135">
        <f t="shared" si="16"/>
        <v>0</v>
      </c>
      <c r="I53" s="134"/>
      <c r="J53" s="134"/>
      <c r="K53" s="134">
        <f t="shared" si="17"/>
        <v>0</v>
      </c>
      <c r="L53" s="105">
        <f t="shared" si="7"/>
        <v>0</v>
      </c>
      <c r="M53" s="87">
        <f t="shared" si="8"/>
        <v>0</v>
      </c>
      <c r="N53" s="87">
        <f t="shared" si="9"/>
        <v>0</v>
      </c>
      <c r="O53" s="87">
        <f t="shared" si="10"/>
        <v>0</v>
      </c>
      <c r="P53" s="88">
        <f t="shared" si="11"/>
        <v>0</v>
      </c>
    </row>
    <row r="54" spans="1:16" ht="52.8" x14ac:dyDescent="0.2">
      <c r="A54" s="152">
        <v>11</v>
      </c>
      <c r="B54" s="153" t="s">
        <v>56</v>
      </c>
      <c r="C54" s="154" t="s">
        <v>120</v>
      </c>
      <c r="D54" s="155" t="s">
        <v>62</v>
      </c>
      <c r="E54" s="156">
        <v>2</v>
      </c>
      <c r="F54" s="133"/>
      <c r="G54" s="134"/>
      <c r="H54" s="135">
        <f t="shared" si="16"/>
        <v>0</v>
      </c>
      <c r="I54" s="134"/>
      <c r="J54" s="134"/>
      <c r="K54" s="134">
        <f t="shared" si="17"/>
        <v>0</v>
      </c>
      <c r="L54" s="105">
        <f t="shared" si="7"/>
        <v>0</v>
      </c>
      <c r="M54" s="87">
        <f t="shared" si="8"/>
        <v>0</v>
      </c>
      <c r="N54" s="87">
        <f t="shared" si="9"/>
        <v>0</v>
      </c>
      <c r="O54" s="87">
        <f t="shared" si="10"/>
        <v>0</v>
      </c>
      <c r="P54" s="88">
        <f t="shared" si="11"/>
        <v>0</v>
      </c>
    </row>
    <row r="55" spans="1:16" ht="52.8" x14ac:dyDescent="0.2">
      <c r="A55" s="152">
        <v>12</v>
      </c>
      <c r="B55" s="153" t="s">
        <v>56</v>
      </c>
      <c r="C55" s="154" t="s">
        <v>121</v>
      </c>
      <c r="D55" s="155" t="s">
        <v>60</v>
      </c>
      <c r="E55" s="156">
        <v>1</v>
      </c>
      <c r="F55" s="133"/>
      <c r="G55" s="134"/>
      <c r="H55" s="135">
        <f t="shared" si="16"/>
        <v>0</v>
      </c>
      <c r="I55" s="134"/>
      <c r="J55" s="134"/>
      <c r="K55" s="134">
        <f t="shared" si="17"/>
        <v>0</v>
      </c>
      <c r="L55" s="105">
        <f t="shared" si="7"/>
        <v>0</v>
      </c>
      <c r="M55" s="87">
        <f t="shared" si="8"/>
        <v>0</v>
      </c>
      <c r="N55" s="87">
        <f t="shared" si="9"/>
        <v>0</v>
      </c>
      <c r="O55" s="87">
        <f t="shared" si="10"/>
        <v>0</v>
      </c>
      <c r="P55" s="88">
        <f t="shared" si="11"/>
        <v>0</v>
      </c>
    </row>
    <row r="56" spans="1:16" ht="39.6" x14ac:dyDescent="0.2">
      <c r="A56" s="152">
        <v>13</v>
      </c>
      <c r="B56" s="153" t="s">
        <v>56</v>
      </c>
      <c r="C56" s="154" t="s">
        <v>122</v>
      </c>
      <c r="D56" s="155" t="s">
        <v>62</v>
      </c>
      <c r="E56" s="156">
        <v>2</v>
      </c>
      <c r="F56" s="133"/>
      <c r="G56" s="134"/>
      <c r="H56" s="135">
        <f t="shared" si="16"/>
        <v>0</v>
      </c>
      <c r="I56" s="134"/>
      <c r="J56" s="134"/>
      <c r="K56" s="134">
        <f t="shared" si="17"/>
        <v>0</v>
      </c>
      <c r="L56" s="105">
        <f t="shared" si="7"/>
        <v>0</v>
      </c>
      <c r="M56" s="87">
        <f t="shared" si="8"/>
        <v>0</v>
      </c>
      <c r="N56" s="87">
        <f t="shared" si="9"/>
        <v>0</v>
      </c>
      <c r="O56" s="87">
        <f t="shared" si="10"/>
        <v>0</v>
      </c>
      <c r="P56" s="88">
        <f t="shared" si="11"/>
        <v>0</v>
      </c>
    </row>
    <row r="57" spans="1:16" ht="52.8" x14ac:dyDescent="0.2">
      <c r="A57" s="152">
        <v>14</v>
      </c>
      <c r="B57" s="153" t="s">
        <v>56</v>
      </c>
      <c r="C57" s="154" t="s">
        <v>123</v>
      </c>
      <c r="D57" s="155" t="s">
        <v>60</v>
      </c>
      <c r="E57" s="156">
        <v>1</v>
      </c>
      <c r="F57" s="133"/>
      <c r="G57" s="134"/>
      <c r="H57" s="135">
        <f t="shared" si="16"/>
        <v>0</v>
      </c>
      <c r="I57" s="134"/>
      <c r="J57" s="134"/>
      <c r="K57" s="134">
        <f t="shared" si="17"/>
        <v>0</v>
      </c>
      <c r="L57" s="105">
        <f t="shared" si="7"/>
        <v>0</v>
      </c>
      <c r="M57" s="87">
        <f t="shared" si="8"/>
        <v>0</v>
      </c>
      <c r="N57" s="87">
        <f t="shared" si="9"/>
        <v>0</v>
      </c>
      <c r="O57" s="87">
        <f t="shared" si="10"/>
        <v>0</v>
      </c>
      <c r="P57" s="88">
        <f t="shared" si="11"/>
        <v>0</v>
      </c>
    </row>
    <row r="58" spans="1:16" ht="39.6" x14ac:dyDescent="0.2">
      <c r="A58" s="152">
        <v>15</v>
      </c>
      <c r="B58" s="153" t="s">
        <v>56</v>
      </c>
      <c r="C58" s="154" t="s">
        <v>124</v>
      </c>
      <c r="D58" s="155" t="s">
        <v>60</v>
      </c>
      <c r="E58" s="156">
        <v>1</v>
      </c>
      <c r="F58" s="133"/>
      <c r="G58" s="134"/>
      <c r="H58" s="135">
        <f t="shared" si="16"/>
        <v>0</v>
      </c>
      <c r="I58" s="134"/>
      <c r="J58" s="134"/>
      <c r="K58" s="134">
        <f t="shared" si="17"/>
        <v>0</v>
      </c>
      <c r="L58" s="105">
        <f t="shared" si="7"/>
        <v>0</v>
      </c>
      <c r="M58" s="87">
        <f t="shared" si="8"/>
        <v>0</v>
      </c>
      <c r="N58" s="87">
        <f t="shared" si="9"/>
        <v>0</v>
      </c>
      <c r="O58" s="87">
        <f t="shared" si="10"/>
        <v>0</v>
      </c>
      <c r="P58" s="88">
        <f t="shared" si="11"/>
        <v>0</v>
      </c>
    </row>
    <row r="59" spans="1:16" ht="26.4" x14ac:dyDescent="0.2">
      <c r="A59" s="152">
        <v>16</v>
      </c>
      <c r="B59" s="153" t="s">
        <v>56</v>
      </c>
      <c r="C59" s="154" t="s">
        <v>125</v>
      </c>
      <c r="D59" s="155" t="s">
        <v>60</v>
      </c>
      <c r="E59" s="156">
        <v>66</v>
      </c>
      <c r="F59" s="133"/>
      <c r="G59" s="134"/>
      <c r="H59" s="135">
        <f t="shared" si="16"/>
        <v>0</v>
      </c>
      <c r="I59" s="134"/>
      <c r="J59" s="134"/>
      <c r="K59" s="134">
        <f t="shared" si="17"/>
        <v>0</v>
      </c>
      <c r="L59" s="105">
        <f t="shared" si="7"/>
        <v>0</v>
      </c>
      <c r="M59" s="87">
        <f t="shared" si="8"/>
        <v>0</v>
      </c>
      <c r="N59" s="87">
        <f t="shared" si="9"/>
        <v>0</v>
      </c>
      <c r="O59" s="87">
        <f t="shared" si="10"/>
        <v>0</v>
      </c>
      <c r="P59" s="88">
        <f t="shared" si="11"/>
        <v>0</v>
      </c>
    </row>
    <row r="60" spans="1:16" ht="13.2" x14ac:dyDescent="0.2">
      <c r="A60" s="152">
        <v>17</v>
      </c>
      <c r="B60" s="153" t="s">
        <v>56</v>
      </c>
      <c r="C60" s="154" t="s">
        <v>126</v>
      </c>
      <c r="D60" s="155" t="s">
        <v>58</v>
      </c>
      <c r="E60" s="156">
        <v>91.2</v>
      </c>
      <c r="F60" s="133"/>
      <c r="G60" s="134"/>
      <c r="H60" s="135">
        <f t="shared" si="16"/>
        <v>0</v>
      </c>
      <c r="I60" s="134"/>
      <c r="J60" s="134"/>
      <c r="K60" s="134">
        <f t="shared" si="17"/>
        <v>0</v>
      </c>
      <c r="L60" s="105">
        <f t="shared" si="7"/>
        <v>0</v>
      </c>
      <c r="M60" s="87">
        <f t="shared" si="8"/>
        <v>0</v>
      </c>
      <c r="N60" s="87">
        <f t="shared" si="9"/>
        <v>0</v>
      </c>
      <c r="O60" s="87">
        <f t="shared" si="10"/>
        <v>0</v>
      </c>
      <c r="P60" s="88">
        <f t="shared" si="11"/>
        <v>0</v>
      </c>
    </row>
    <row r="61" spans="1:16" ht="26.4" x14ac:dyDescent="0.2">
      <c r="A61" s="152">
        <v>18</v>
      </c>
      <c r="B61" s="153" t="s">
        <v>56</v>
      </c>
      <c r="C61" s="154" t="s">
        <v>127</v>
      </c>
      <c r="D61" s="155" t="s">
        <v>70</v>
      </c>
      <c r="E61" s="156">
        <v>25.5</v>
      </c>
      <c r="F61" s="133"/>
      <c r="G61" s="134"/>
      <c r="H61" s="135">
        <f t="shared" si="16"/>
        <v>0</v>
      </c>
      <c r="I61" s="134"/>
      <c r="J61" s="134"/>
      <c r="K61" s="134">
        <f t="shared" si="17"/>
        <v>0</v>
      </c>
      <c r="L61" s="105">
        <f t="shared" si="7"/>
        <v>0</v>
      </c>
      <c r="M61" s="87">
        <f t="shared" si="8"/>
        <v>0</v>
      </c>
      <c r="N61" s="87">
        <f t="shared" si="9"/>
        <v>0</v>
      </c>
      <c r="O61" s="87">
        <f t="shared" si="10"/>
        <v>0</v>
      </c>
      <c r="P61" s="88">
        <f t="shared" si="11"/>
        <v>0</v>
      </c>
    </row>
    <row r="62" spans="1:16" ht="13.2" x14ac:dyDescent="0.2">
      <c r="A62" s="152">
        <v>19</v>
      </c>
      <c r="B62" s="153" t="s">
        <v>56</v>
      </c>
      <c r="C62" s="154" t="s">
        <v>128</v>
      </c>
      <c r="D62" s="155" t="s">
        <v>70</v>
      </c>
      <c r="E62" s="156">
        <v>483.4</v>
      </c>
      <c r="F62" s="133"/>
      <c r="G62" s="134"/>
      <c r="H62" s="135">
        <f t="shared" si="16"/>
        <v>0</v>
      </c>
      <c r="I62" s="134"/>
      <c r="J62" s="134"/>
      <c r="K62" s="134">
        <f t="shared" si="17"/>
        <v>0</v>
      </c>
      <c r="L62" s="105">
        <f t="shared" si="7"/>
        <v>0</v>
      </c>
      <c r="M62" s="87">
        <f t="shared" si="8"/>
        <v>0</v>
      </c>
      <c r="N62" s="87">
        <f t="shared" si="9"/>
        <v>0</v>
      </c>
      <c r="O62" s="87">
        <f t="shared" si="10"/>
        <v>0</v>
      </c>
      <c r="P62" s="88">
        <f t="shared" si="11"/>
        <v>0</v>
      </c>
    </row>
    <row r="63" spans="1:16" ht="13.2" x14ac:dyDescent="0.2">
      <c r="A63" s="152">
        <v>20</v>
      </c>
      <c r="B63" s="153" t="s">
        <v>56</v>
      </c>
      <c r="C63" s="154" t="s">
        <v>129</v>
      </c>
      <c r="D63" s="155" t="s">
        <v>70</v>
      </c>
      <c r="E63" s="156">
        <v>483.4</v>
      </c>
      <c r="F63" s="133"/>
      <c r="G63" s="134"/>
      <c r="H63" s="135"/>
      <c r="I63" s="134"/>
      <c r="J63" s="134"/>
      <c r="K63" s="134">
        <f t="shared" si="17"/>
        <v>0</v>
      </c>
      <c r="L63" s="105">
        <f t="shared" si="7"/>
        <v>0</v>
      </c>
      <c r="M63" s="87">
        <f t="shared" si="8"/>
        <v>0</v>
      </c>
      <c r="N63" s="87">
        <f t="shared" si="9"/>
        <v>0</v>
      </c>
      <c r="O63" s="87">
        <f t="shared" si="10"/>
        <v>0</v>
      </c>
      <c r="P63" s="88">
        <f t="shared" si="11"/>
        <v>0</v>
      </c>
    </row>
    <row r="64" spans="1:16" ht="26.4" x14ac:dyDescent="0.2">
      <c r="A64" s="152">
        <v>21</v>
      </c>
      <c r="B64" s="153" t="s">
        <v>56</v>
      </c>
      <c r="C64" s="154" t="s">
        <v>130</v>
      </c>
      <c r="D64" s="155" t="s">
        <v>60</v>
      </c>
      <c r="E64" s="156">
        <v>5</v>
      </c>
      <c r="F64" s="133"/>
      <c r="G64" s="134"/>
      <c r="H64" s="135">
        <f t="shared" si="16"/>
        <v>0</v>
      </c>
      <c r="I64" s="134"/>
      <c r="J64" s="134"/>
      <c r="K64" s="134">
        <f t="shared" si="17"/>
        <v>0</v>
      </c>
      <c r="L64" s="105">
        <f t="shared" si="7"/>
        <v>0</v>
      </c>
      <c r="M64" s="87">
        <f t="shared" si="8"/>
        <v>0</v>
      </c>
      <c r="N64" s="87">
        <f t="shared" si="9"/>
        <v>0</v>
      </c>
      <c r="O64" s="87">
        <f t="shared" si="10"/>
        <v>0</v>
      </c>
      <c r="P64" s="88">
        <f t="shared" si="11"/>
        <v>0</v>
      </c>
    </row>
    <row r="65" spans="1:16" ht="26.4" x14ac:dyDescent="0.2">
      <c r="A65" s="152">
        <v>22</v>
      </c>
      <c r="B65" s="153" t="s">
        <v>56</v>
      </c>
      <c r="C65" s="154" t="s">
        <v>131</v>
      </c>
      <c r="D65" s="155" t="s">
        <v>60</v>
      </c>
      <c r="E65" s="156">
        <v>1</v>
      </c>
      <c r="F65" s="133"/>
      <c r="G65" s="134"/>
      <c r="H65" s="135">
        <f t="shared" si="16"/>
        <v>0</v>
      </c>
      <c r="I65" s="134"/>
      <c r="J65" s="134"/>
      <c r="K65" s="134">
        <f t="shared" si="17"/>
        <v>0</v>
      </c>
      <c r="L65" s="105">
        <f t="shared" si="7"/>
        <v>0</v>
      </c>
      <c r="M65" s="87">
        <f t="shared" si="8"/>
        <v>0</v>
      </c>
      <c r="N65" s="87">
        <f t="shared" si="9"/>
        <v>0</v>
      </c>
      <c r="O65" s="87">
        <f t="shared" si="10"/>
        <v>0</v>
      </c>
      <c r="P65" s="88">
        <f t="shared" si="11"/>
        <v>0</v>
      </c>
    </row>
    <row r="66" spans="1:16" ht="52.8" x14ac:dyDescent="0.2">
      <c r="A66" s="152">
        <v>23</v>
      </c>
      <c r="B66" s="153" t="s">
        <v>56</v>
      </c>
      <c r="C66" s="154" t="s">
        <v>132</v>
      </c>
      <c r="D66" s="155" t="s">
        <v>60</v>
      </c>
      <c r="E66" s="156">
        <v>1</v>
      </c>
      <c r="F66" s="133"/>
      <c r="G66" s="134"/>
      <c r="H66" s="135">
        <f t="shared" si="16"/>
        <v>0</v>
      </c>
      <c r="I66" s="134"/>
      <c r="J66" s="134"/>
      <c r="K66" s="134">
        <f t="shared" si="17"/>
        <v>0</v>
      </c>
      <c r="L66" s="105">
        <f t="shared" si="7"/>
        <v>0</v>
      </c>
      <c r="M66" s="87">
        <f t="shared" si="8"/>
        <v>0</v>
      </c>
      <c r="N66" s="87">
        <f t="shared" si="9"/>
        <v>0</v>
      </c>
      <c r="O66" s="87">
        <f t="shared" si="10"/>
        <v>0</v>
      </c>
      <c r="P66" s="88">
        <f t="shared" si="11"/>
        <v>0</v>
      </c>
    </row>
    <row r="67" spans="1:16" ht="26.4" x14ac:dyDescent="0.2">
      <c r="A67" s="152">
        <v>24</v>
      </c>
      <c r="B67" s="153" t="s">
        <v>56</v>
      </c>
      <c r="C67" s="154" t="s">
        <v>133</v>
      </c>
      <c r="D67" s="155" t="s">
        <v>58</v>
      </c>
      <c r="E67" s="156">
        <v>3.3</v>
      </c>
      <c r="F67" s="133"/>
      <c r="G67" s="134"/>
      <c r="H67" s="135">
        <f t="shared" si="16"/>
        <v>0</v>
      </c>
      <c r="I67" s="134"/>
      <c r="J67" s="134"/>
      <c r="K67" s="134">
        <f t="shared" si="17"/>
        <v>0</v>
      </c>
      <c r="L67" s="105">
        <f t="shared" si="7"/>
        <v>0</v>
      </c>
      <c r="M67" s="87">
        <f t="shared" si="8"/>
        <v>0</v>
      </c>
      <c r="N67" s="87">
        <f t="shared" si="9"/>
        <v>0</v>
      </c>
      <c r="O67" s="87">
        <f t="shared" si="10"/>
        <v>0</v>
      </c>
      <c r="P67" s="88">
        <f t="shared" si="11"/>
        <v>0</v>
      </c>
    </row>
    <row r="68" spans="1:16" ht="13.2" x14ac:dyDescent="0.2">
      <c r="A68" s="152">
        <v>25</v>
      </c>
      <c r="B68" s="153" t="s">
        <v>56</v>
      </c>
      <c r="C68" s="154" t="s">
        <v>102</v>
      </c>
      <c r="D68" s="155" t="s">
        <v>103</v>
      </c>
      <c r="E68" s="156">
        <v>8</v>
      </c>
      <c r="F68" s="133"/>
      <c r="G68" s="134"/>
      <c r="H68" s="135">
        <f t="shared" si="16"/>
        <v>0</v>
      </c>
      <c r="I68" s="134"/>
      <c r="J68" s="134"/>
      <c r="K68" s="134">
        <f t="shared" si="17"/>
        <v>0</v>
      </c>
      <c r="L68" s="105">
        <f t="shared" si="7"/>
        <v>0</v>
      </c>
      <c r="M68" s="87">
        <f t="shared" si="8"/>
        <v>0</v>
      </c>
      <c r="N68" s="87">
        <f t="shared" si="9"/>
        <v>0</v>
      </c>
      <c r="O68" s="87">
        <f t="shared" si="10"/>
        <v>0</v>
      </c>
      <c r="P68" s="88">
        <f t="shared" si="11"/>
        <v>0</v>
      </c>
    </row>
    <row r="69" spans="1:16" ht="26.4" x14ac:dyDescent="0.2">
      <c r="A69" s="152">
        <v>26</v>
      </c>
      <c r="B69" s="153" t="s">
        <v>56</v>
      </c>
      <c r="C69" s="154" t="s">
        <v>104</v>
      </c>
      <c r="D69" s="155" t="s">
        <v>105</v>
      </c>
      <c r="E69" s="156">
        <v>24</v>
      </c>
      <c r="F69" s="133"/>
      <c r="G69" s="134"/>
      <c r="H69" s="135">
        <f t="shared" si="16"/>
        <v>0</v>
      </c>
      <c r="I69" s="134"/>
      <c r="J69" s="134"/>
      <c r="K69" s="134">
        <f t="shared" si="17"/>
        <v>0</v>
      </c>
      <c r="L69" s="105">
        <f t="shared" si="7"/>
        <v>0</v>
      </c>
      <c r="M69" s="87">
        <f t="shared" si="8"/>
        <v>0</v>
      </c>
      <c r="N69" s="87">
        <f t="shared" si="9"/>
        <v>0</v>
      </c>
      <c r="O69" s="87">
        <f t="shared" si="10"/>
        <v>0</v>
      </c>
      <c r="P69" s="88">
        <f t="shared" si="11"/>
        <v>0</v>
      </c>
    </row>
    <row r="70" spans="1:16" ht="13.2" x14ac:dyDescent="0.2">
      <c r="A70" s="128"/>
      <c r="B70" s="157"/>
      <c r="C70" s="158" t="s">
        <v>134</v>
      </c>
      <c r="D70" s="129"/>
      <c r="E70" s="159"/>
      <c r="F70" s="133"/>
      <c r="G70" s="134"/>
      <c r="H70" s="135"/>
      <c r="I70" s="134"/>
      <c r="J70" s="134"/>
      <c r="K70" s="134"/>
      <c r="L70" s="105"/>
      <c r="M70" s="87"/>
      <c r="N70" s="87"/>
      <c r="O70" s="87"/>
      <c r="P70" s="88"/>
    </row>
    <row r="71" spans="1:16" ht="13.2" x14ac:dyDescent="0.2">
      <c r="A71" s="152">
        <v>1</v>
      </c>
      <c r="B71" s="153" t="s">
        <v>56</v>
      </c>
      <c r="C71" s="154" t="s">
        <v>88</v>
      </c>
      <c r="D71" s="155" t="s">
        <v>62</v>
      </c>
      <c r="E71" s="156">
        <v>10</v>
      </c>
      <c r="F71" s="133"/>
      <c r="G71" s="134"/>
      <c r="H71" s="135">
        <f t="shared" ref="H71:H76" si="18">ROUND(F71*G71,2)</f>
        <v>0</v>
      </c>
      <c r="I71" s="134"/>
      <c r="J71" s="134"/>
      <c r="K71" s="134">
        <f t="shared" ref="K71:K76" si="19">ROUND(H71+J71+I71,2)</f>
        <v>0</v>
      </c>
      <c r="L71" s="105">
        <f t="shared" si="7"/>
        <v>0</v>
      </c>
      <c r="M71" s="87">
        <f t="shared" si="8"/>
        <v>0</v>
      </c>
      <c r="N71" s="87">
        <f t="shared" si="9"/>
        <v>0</v>
      </c>
      <c r="O71" s="87">
        <f t="shared" si="10"/>
        <v>0</v>
      </c>
      <c r="P71" s="88">
        <f t="shared" si="11"/>
        <v>0</v>
      </c>
    </row>
    <row r="72" spans="1:16" ht="13.2" x14ac:dyDescent="0.2">
      <c r="A72" s="152">
        <v>2</v>
      </c>
      <c r="B72" s="153" t="s">
        <v>56</v>
      </c>
      <c r="C72" s="154" t="s">
        <v>89</v>
      </c>
      <c r="D72" s="155" t="s">
        <v>58</v>
      </c>
      <c r="E72" s="156">
        <v>255.8</v>
      </c>
      <c r="F72" s="133"/>
      <c r="G72" s="134"/>
      <c r="H72" s="135">
        <f t="shared" si="18"/>
        <v>0</v>
      </c>
      <c r="I72" s="134"/>
      <c r="J72" s="134"/>
      <c r="K72" s="134">
        <f t="shared" si="19"/>
        <v>0</v>
      </c>
      <c r="L72" s="105">
        <f t="shared" si="7"/>
        <v>0</v>
      </c>
      <c r="M72" s="87">
        <f t="shared" si="8"/>
        <v>0</v>
      </c>
      <c r="N72" s="87">
        <f t="shared" si="9"/>
        <v>0</v>
      </c>
      <c r="O72" s="87">
        <f t="shared" si="10"/>
        <v>0</v>
      </c>
      <c r="P72" s="88">
        <f t="shared" si="11"/>
        <v>0</v>
      </c>
    </row>
    <row r="73" spans="1:16" ht="26.4" x14ac:dyDescent="0.2">
      <c r="A73" s="152">
        <v>3</v>
      </c>
      <c r="B73" s="153" t="s">
        <v>56</v>
      </c>
      <c r="C73" s="154" t="s">
        <v>90</v>
      </c>
      <c r="D73" s="155" t="s">
        <v>58</v>
      </c>
      <c r="E73" s="156">
        <v>255.8</v>
      </c>
      <c r="F73" s="133"/>
      <c r="G73" s="134"/>
      <c r="H73" s="135">
        <f t="shared" si="18"/>
        <v>0</v>
      </c>
      <c r="I73" s="134"/>
      <c r="J73" s="134"/>
      <c r="K73" s="134">
        <f t="shared" si="19"/>
        <v>0</v>
      </c>
      <c r="L73" s="105">
        <f t="shared" si="7"/>
        <v>0</v>
      </c>
      <c r="M73" s="87">
        <f t="shared" si="8"/>
        <v>0</v>
      </c>
      <c r="N73" s="87">
        <f t="shared" si="9"/>
        <v>0</v>
      </c>
      <c r="O73" s="87">
        <f t="shared" si="10"/>
        <v>0</v>
      </c>
      <c r="P73" s="88">
        <f t="shared" si="11"/>
        <v>0</v>
      </c>
    </row>
    <row r="74" spans="1:16" ht="26.4" x14ac:dyDescent="0.2">
      <c r="A74" s="152">
        <v>4</v>
      </c>
      <c r="B74" s="153" t="s">
        <v>56</v>
      </c>
      <c r="C74" s="154" t="s">
        <v>135</v>
      </c>
      <c r="D74" s="155" t="s">
        <v>58</v>
      </c>
      <c r="E74" s="156">
        <v>53.9</v>
      </c>
      <c r="F74" s="133"/>
      <c r="G74" s="134"/>
      <c r="H74" s="135">
        <f t="shared" si="18"/>
        <v>0</v>
      </c>
      <c r="I74" s="134"/>
      <c r="J74" s="134"/>
      <c r="K74" s="134">
        <f t="shared" si="19"/>
        <v>0</v>
      </c>
      <c r="L74" s="105">
        <f t="shared" si="7"/>
        <v>0</v>
      </c>
      <c r="M74" s="87">
        <f t="shared" si="8"/>
        <v>0</v>
      </c>
      <c r="N74" s="87">
        <f t="shared" si="9"/>
        <v>0</v>
      </c>
      <c r="O74" s="87">
        <f t="shared" si="10"/>
        <v>0</v>
      </c>
      <c r="P74" s="88">
        <f t="shared" si="11"/>
        <v>0</v>
      </c>
    </row>
    <row r="75" spans="1:16" ht="13.2" x14ac:dyDescent="0.2">
      <c r="A75" s="152">
        <v>5</v>
      </c>
      <c r="B75" s="153" t="s">
        <v>56</v>
      </c>
      <c r="C75" s="154" t="s">
        <v>114</v>
      </c>
      <c r="D75" s="155" t="s">
        <v>62</v>
      </c>
      <c r="E75" s="156">
        <v>49</v>
      </c>
      <c r="F75" s="133"/>
      <c r="G75" s="134"/>
      <c r="H75" s="135">
        <f t="shared" si="18"/>
        <v>0</v>
      </c>
      <c r="I75" s="134"/>
      <c r="J75" s="134"/>
      <c r="K75" s="134">
        <f t="shared" si="19"/>
        <v>0</v>
      </c>
      <c r="L75" s="105">
        <f t="shared" si="7"/>
        <v>0</v>
      </c>
      <c r="M75" s="87">
        <f t="shared" si="8"/>
        <v>0</v>
      </c>
      <c r="N75" s="87">
        <f t="shared" si="9"/>
        <v>0</v>
      </c>
      <c r="O75" s="87">
        <f t="shared" si="10"/>
        <v>0</v>
      </c>
      <c r="P75" s="88">
        <f t="shared" si="11"/>
        <v>0</v>
      </c>
    </row>
    <row r="76" spans="1:16" ht="26.4" x14ac:dyDescent="0.2">
      <c r="A76" s="152">
        <v>6</v>
      </c>
      <c r="B76" s="153" t="s">
        <v>56</v>
      </c>
      <c r="C76" s="154" t="s">
        <v>136</v>
      </c>
      <c r="D76" s="155" t="s">
        <v>60</v>
      </c>
      <c r="E76" s="156">
        <v>65</v>
      </c>
      <c r="F76" s="133"/>
      <c r="G76" s="134"/>
      <c r="H76" s="135">
        <f t="shared" si="18"/>
        <v>0</v>
      </c>
      <c r="I76" s="134"/>
      <c r="J76" s="134"/>
      <c r="K76" s="134">
        <f t="shared" si="19"/>
        <v>0</v>
      </c>
      <c r="L76" s="105">
        <f t="shared" si="7"/>
        <v>0</v>
      </c>
      <c r="M76" s="87">
        <f t="shared" si="8"/>
        <v>0</v>
      </c>
      <c r="N76" s="87">
        <f t="shared" si="9"/>
        <v>0</v>
      </c>
      <c r="O76" s="87">
        <f t="shared" si="10"/>
        <v>0</v>
      </c>
      <c r="P76" s="88">
        <f t="shared" si="11"/>
        <v>0</v>
      </c>
    </row>
    <row r="77" spans="1:16" ht="13.2" x14ac:dyDescent="0.2">
      <c r="A77" s="152">
        <v>7</v>
      </c>
      <c r="B77" s="153" t="s">
        <v>56</v>
      </c>
      <c r="C77" s="154" t="s">
        <v>116</v>
      </c>
      <c r="D77" s="155" t="s">
        <v>62</v>
      </c>
      <c r="E77" s="156">
        <v>12</v>
      </c>
      <c r="F77" s="133"/>
      <c r="G77" s="134"/>
      <c r="H77" s="135">
        <f>ROUND(F77*G77,2)</f>
        <v>0</v>
      </c>
      <c r="I77" s="134"/>
      <c r="J77" s="134"/>
      <c r="K77" s="134">
        <f>ROUND(H77+J77+I77,2)</f>
        <v>0</v>
      </c>
      <c r="L77" s="105">
        <f t="shared" si="7"/>
        <v>0</v>
      </c>
      <c r="M77" s="87">
        <f t="shared" si="8"/>
        <v>0</v>
      </c>
      <c r="N77" s="87">
        <f t="shared" si="9"/>
        <v>0</v>
      </c>
      <c r="O77" s="87">
        <f t="shared" si="10"/>
        <v>0</v>
      </c>
      <c r="P77" s="88">
        <f t="shared" si="11"/>
        <v>0</v>
      </c>
    </row>
    <row r="78" spans="1:16" ht="13.2" x14ac:dyDescent="0.2">
      <c r="A78" s="152">
        <v>8</v>
      </c>
      <c r="B78" s="153" t="s">
        <v>56</v>
      </c>
      <c r="C78" s="154" t="s">
        <v>117</v>
      </c>
      <c r="D78" s="155" t="s">
        <v>58</v>
      </c>
      <c r="E78" s="156">
        <v>198.3</v>
      </c>
      <c r="F78" s="133"/>
      <c r="G78" s="134"/>
      <c r="H78" s="135">
        <f>ROUND(F78*G78,2)</f>
        <v>0</v>
      </c>
      <c r="I78" s="134"/>
      <c r="J78" s="134"/>
      <c r="K78" s="134">
        <f>ROUND(H78+J78+I78,2)</f>
        <v>0</v>
      </c>
      <c r="L78" s="105">
        <f t="shared" si="7"/>
        <v>0</v>
      </c>
      <c r="M78" s="87">
        <f t="shared" si="8"/>
        <v>0</v>
      </c>
      <c r="N78" s="87">
        <f t="shared" si="9"/>
        <v>0</v>
      </c>
      <c r="O78" s="87">
        <f t="shared" si="10"/>
        <v>0</v>
      </c>
      <c r="P78" s="88">
        <f t="shared" si="11"/>
        <v>0</v>
      </c>
    </row>
    <row r="79" spans="1:16" ht="39.6" x14ac:dyDescent="0.2">
      <c r="A79" s="152">
        <v>9</v>
      </c>
      <c r="B79" s="153" t="s">
        <v>56</v>
      </c>
      <c r="C79" s="154" t="s">
        <v>137</v>
      </c>
      <c r="D79" s="155" t="s">
        <v>60</v>
      </c>
      <c r="E79" s="156">
        <v>1</v>
      </c>
      <c r="F79" s="133"/>
      <c r="G79" s="134"/>
      <c r="H79" s="135">
        <f t="shared" ref="H79:H86" si="20">ROUND(F79*G79,2)</f>
        <v>0</v>
      </c>
      <c r="I79" s="134"/>
      <c r="J79" s="134"/>
      <c r="K79" s="134">
        <f t="shared" ref="K79:K86" si="21">ROUND(H79+J79+I79,2)</f>
        <v>0</v>
      </c>
      <c r="L79" s="105">
        <f t="shared" si="7"/>
        <v>0</v>
      </c>
      <c r="M79" s="87">
        <f t="shared" si="8"/>
        <v>0</v>
      </c>
      <c r="N79" s="87">
        <f t="shared" si="9"/>
        <v>0</v>
      </c>
      <c r="O79" s="87">
        <f t="shared" si="10"/>
        <v>0</v>
      </c>
      <c r="P79" s="88">
        <f t="shared" si="11"/>
        <v>0</v>
      </c>
    </row>
    <row r="80" spans="1:16" ht="52.8" x14ac:dyDescent="0.2">
      <c r="A80" s="152">
        <v>10</v>
      </c>
      <c r="B80" s="153" t="s">
        <v>56</v>
      </c>
      <c r="C80" s="154" t="s">
        <v>138</v>
      </c>
      <c r="D80" s="155" t="s">
        <v>62</v>
      </c>
      <c r="E80" s="156">
        <v>3</v>
      </c>
      <c r="F80" s="133"/>
      <c r="G80" s="134"/>
      <c r="H80" s="135">
        <f t="shared" si="20"/>
        <v>0</v>
      </c>
      <c r="I80" s="134"/>
      <c r="J80" s="134"/>
      <c r="K80" s="134">
        <f t="shared" si="21"/>
        <v>0</v>
      </c>
      <c r="L80" s="105">
        <f t="shared" ref="L80:L93" si="22">ROUND(E80*F80,2)</f>
        <v>0</v>
      </c>
      <c r="M80" s="87">
        <f t="shared" ref="M80:M93" si="23">ROUND(E80*H80,2)</f>
        <v>0</v>
      </c>
      <c r="N80" s="87">
        <f t="shared" ref="N80:N93" si="24">ROUND(E80*I80,2)</f>
        <v>0</v>
      </c>
      <c r="O80" s="87">
        <f t="shared" ref="O80:O93" si="25">ROUND(E80*J80,2)</f>
        <v>0</v>
      </c>
      <c r="P80" s="88">
        <f t="shared" ref="P80:P93" si="26">ROUND(O80+N80+M80,2)</f>
        <v>0</v>
      </c>
    </row>
    <row r="81" spans="1:16" ht="52.8" x14ac:dyDescent="0.2">
      <c r="A81" s="152">
        <v>11</v>
      </c>
      <c r="B81" s="153" t="s">
        <v>56</v>
      </c>
      <c r="C81" s="154" t="s">
        <v>120</v>
      </c>
      <c r="D81" s="155" t="s">
        <v>62</v>
      </c>
      <c r="E81" s="156">
        <v>5</v>
      </c>
      <c r="F81" s="133"/>
      <c r="G81" s="134"/>
      <c r="H81" s="135">
        <f t="shared" si="20"/>
        <v>0</v>
      </c>
      <c r="I81" s="134"/>
      <c r="J81" s="134"/>
      <c r="K81" s="134">
        <f t="shared" si="21"/>
        <v>0</v>
      </c>
      <c r="L81" s="105">
        <f t="shared" si="22"/>
        <v>0</v>
      </c>
      <c r="M81" s="87">
        <f t="shared" si="23"/>
        <v>0</v>
      </c>
      <c r="N81" s="87">
        <f t="shared" si="24"/>
        <v>0</v>
      </c>
      <c r="O81" s="87">
        <f t="shared" si="25"/>
        <v>0</v>
      </c>
      <c r="P81" s="88">
        <f t="shared" si="26"/>
        <v>0</v>
      </c>
    </row>
    <row r="82" spans="1:16" ht="26.4" x14ac:dyDescent="0.2">
      <c r="A82" s="152">
        <v>12</v>
      </c>
      <c r="B82" s="153" t="s">
        <v>56</v>
      </c>
      <c r="C82" s="154" t="s">
        <v>139</v>
      </c>
      <c r="D82" s="155" t="s">
        <v>70</v>
      </c>
      <c r="E82" s="156">
        <v>7.8</v>
      </c>
      <c r="F82" s="133"/>
      <c r="G82" s="134"/>
      <c r="H82" s="135">
        <f t="shared" si="20"/>
        <v>0</v>
      </c>
      <c r="I82" s="134"/>
      <c r="J82" s="134"/>
      <c r="K82" s="134">
        <f t="shared" si="21"/>
        <v>0</v>
      </c>
      <c r="L82" s="105">
        <f t="shared" si="22"/>
        <v>0</v>
      </c>
      <c r="M82" s="87">
        <f t="shared" si="23"/>
        <v>0</v>
      </c>
      <c r="N82" s="87">
        <f t="shared" si="24"/>
        <v>0</v>
      </c>
      <c r="O82" s="87">
        <f t="shared" si="25"/>
        <v>0</v>
      </c>
      <c r="P82" s="88">
        <f t="shared" si="26"/>
        <v>0</v>
      </c>
    </row>
    <row r="83" spans="1:16" ht="13.2" x14ac:dyDescent="0.2">
      <c r="A83" s="152">
        <v>13</v>
      </c>
      <c r="B83" s="153" t="s">
        <v>56</v>
      </c>
      <c r="C83" s="154" t="s">
        <v>140</v>
      </c>
      <c r="D83" s="155" t="s">
        <v>70</v>
      </c>
      <c r="E83" s="156">
        <v>483.4</v>
      </c>
      <c r="F83" s="133"/>
      <c r="G83" s="134"/>
      <c r="H83" s="135">
        <f t="shared" si="20"/>
        <v>0</v>
      </c>
      <c r="I83" s="134"/>
      <c r="J83" s="134"/>
      <c r="K83" s="134">
        <f t="shared" si="21"/>
        <v>0</v>
      </c>
      <c r="L83" s="105">
        <f t="shared" si="22"/>
        <v>0</v>
      </c>
      <c r="M83" s="87">
        <f t="shared" si="23"/>
        <v>0</v>
      </c>
      <c r="N83" s="87">
        <f t="shared" si="24"/>
        <v>0</v>
      </c>
      <c r="O83" s="87">
        <f t="shared" si="25"/>
        <v>0</v>
      </c>
      <c r="P83" s="88">
        <f t="shared" si="26"/>
        <v>0</v>
      </c>
    </row>
    <row r="84" spans="1:16" ht="13.2" x14ac:dyDescent="0.2">
      <c r="A84" s="152">
        <v>14</v>
      </c>
      <c r="B84" s="153" t="s">
        <v>56</v>
      </c>
      <c r="C84" s="154" t="s">
        <v>141</v>
      </c>
      <c r="D84" s="155" t="s">
        <v>70</v>
      </c>
      <c r="E84" s="156">
        <v>483.4</v>
      </c>
      <c r="F84" s="133"/>
      <c r="G84" s="134"/>
      <c r="H84" s="135"/>
      <c r="I84" s="134"/>
      <c r="J84" s="134"/>
      <c r="K84" s="134">
        <f t="shared" si="21"/>
        <v>0</v>
      </c>
      <c r="L84" s="105">
        <f t="shared" si="22"/>
        <v>0</v>
      </c>
      <c r="M84" s="87">
        <f t="shared" si="23"/>
        <v>0</v>
      </c>
      <c r="N84" s="87">
        <f t="shared" si="24"/>
        <v>0</v>
      </c>
      <c r="O84" s="87">
        <f t="shared" si="25"/>
        <v>0</v>
      </c>
      <c r="P84" s="88">
        <f t="shared" si="26"/>
        <v>0</v>
      </c>
    </row>
    <row r="85" spans="1:16" ht="26.4" x14ac:dyDescent="0.2">
      <c r="A85" s="152">
        <v>15</v>
      </c>
      <c r="B85" s="153" t="s">
        <v>56</v>
      </c>
      <c r="C85" s="154" t="s">
        <v>142</v>
      </c>
      <c r="D85" s="155" t="s">
        <v>60</v>
      </c>
      <c r="E85" s="156">
        <v>10</v>
      </c>
      <c r="F85" s="133"/>
      <c r="G85" s="134"/>
      <c r="H85" s="135">
        <f t="shared" ref="H85" si="27">ROUND(F85*G85,2)</f>
        <v>0</v>
      </c>
      <c r="I85" s="134"/>
      <c r="J85" s="134"/>
      <c r="K85" s="134">
        <f t="shared" si="21"/>
        <v>0</v>
      </c>
      <c r="L85" s="105">
        <f t="shared" si="22"/>
        <v>0</v>
      </c>
      <c r="M85" s="87">
        <f t="shared" si="23"/>
        <v>0</v>
      </c>
      <c r="N85" s="87">
        <f t="shared" si="24"/>
        <v>0</v>
      </c>
      <c r="O85" s="87">
        <f t="shared" si="25"/>
        <v>0</v>
      </c>
      <c r="P85" s="88">
        <f t="shared" si="26"/>
        <v>0</v>
      </c>
    </row>
    <row r="86" spans="1:16" ht="13.2" x14ac:dyDescent="0.2">
      <c r="A86" s="152">
        <v>16</v>
      </c>
      <c r="B86" s="153" t="s">
        <v>56</v>
      </c>
      <c r="C86" s="154" t="s">
        <v>143</v>
      </c>
      <c r="D86" s="155" t="s">
        <v>70</v>
      </c>
      <c r="E86" s="156">
        <v>9.1999999999999993</v>
      </c>
      <c r="F86" s="133"/>
      <c r="G86" s="134"/>
      <c r="H86" s="135">
        <f t="shared" si="20"/>
        <v>0</v>
      </c>
      <c r="I86" s="134"/>
      <c r="J86" s="134"/>
      <c r="K86" s="134">
        <f t="shared" si="21"/>
        <v>0</v>
      </c>
      <c r="L86" s="105">
        <f t="shared" si="22"/>
        <v>0</v>
      </c>
      <c r="M86" s="87">
        <f t="shared" si="23"/>
        <v>0</v>
      </c>
      <c r="N86" s="87">
        <f t="shared" si="24"/>
        <v>0</v>
      </c>
      <c r="O86" s="87">
        <f t="shared" si="25"/>
        <v>0</v>
      </c>
      <c r="P86" s="88">
        <f t="shared" si="26"/>
        <v>0</v>
      </c>
    </row>
    <row r="87" spans="1:16" ht="13.2" x14ac:dyDescent="0.2">
      <c r="A87" s="152">
        <v>17</v>
      </c>
      <c r="B87" s="153" t="s">
        <v>56</v>
      </c>
      <c r="C87" s="154" t="s">
        <v>144</v>
      </c>
      <c r="D87" s="155" t="s">
        <v>62</v>
      </c>
      <c r="E87" s="156">
        <v>4</v>
      </c>
      <c r="F87" s="133"/>
      <c r="G87" s="134"/>
      <c r="H87" s="135">
        <f t="shared" si="16"/>
        <v>0</v>
      </c>
      <c r="I87" s="134"/>
      <c r="J87" s="134"/>
      <c r="K87" s="134">
        <f t="shared" si="17"/>
        <v>0</v>
      </c>
      <c r="L87" s="105">
        <f t="shared" si="22"/>
        <v>0</v>
      </c>
      <c r="M87" s="87">
        <f t="shared" si="23"/>
        <v>0</v>
      </c>
      <c r="N87" s="87">
        <f t="shared" si="24"/>
        <v>0</v>
      </c>
      <c r="O87" s="87">
        <f t="shared" si="25"/>
        <v>0</v>
      </c>
      <c r="P87" s="88">
        <f t="shared" si="26"/>
        <v>0</v>
      </c>
    </row>
    <row r="88" spans="1:16" ht="13.2" x14ac:dyDescent="0.2">
      <c r="A88" s="152">
        <v>18</v>
      </c>
      <c r="B88" s="153" t="s">
        <v>56</v>
      </c>
      <c r="C88" s="154" t="s">
        <v>145</v>
      </c>
      <c r="D88" s="155" t="s">
        <v>62</v>
      </c>
      <c r="E88" s="156">
        <v>4</v>
      </c>
      <c r="F88" s="133"/>
      <c r="G88" s="134"/>
      <c r="H88" s="135">
        <f t="shared" si="16"/>
        <v>0</v>
      </c>
      <c r="I88" s="134"/>
      <c r="J88" s="134"/>
      <c r="K88" s="134">
        <f t="shared" si="17"/>
        <v>0</v>
      </c>
      <c r="L88" s="105">
        <f t="shared" si="22"/>
        <v>0</v>
      </c>
      <c r="M88" s="87">
        <f t="shared" si="23"/>
        <v>0</v>
      </c>
      <c r="N88" s="87">
        <f t="shared" si="24"/>
        <v>0</v>
      </c>
      <c r="O88" s="87">
        <f t="shared" si="25"/>
        <v>0</v>
      </c>
      <c r="P88" s="88">
        <f t="shared" si="26"/>
        <v>0</v>
      </c>
    </row>
    <row r="89" spans="1:16" ht="13.2" x14ac:dyDescent="0.2">
      <c r="A89" s="152">
        <v>19</v>
      </c>
      <c r="B89" s="153" t="s">
        <v>56</v>
      </c>
      <c r="C89" s="154" t="s">
        <v>146</v>
      </c>
      <c r="D89" s="155" t="s">
        <v>62</v>
      </c>
      <c r="E89" s="156">
        <v>5</v>
      </c>
      <c r="F89" s="133"/>
      <c r="G89" s="134"/>
      <c r="H89" s="135">
        <f t="shared" si="16"/>
        <v>0</v>
      </c>
      <c r="I89" s="134"/>
      <c r="J89" s="134"/>
      <c r="K89" s="134">
        <f t="shared" si="17"/>
        <v>0</v>
      </c>
      <c r="L89" s="105">
        <f t="shared" si="22"/>
        <v>0</v>
      </c>
      <c r="M89" s="87">
        <f t="shared" si="23"/>
        <v>0</v>
      </c>
      <c r="N89" s="87">
        <f t="shared" si="24"/>
        <v>0</v>
      </c>
      <c r="O89" s="87">
        <f t="shared" si="25"/>
        <v>0</v>
      </c>
      <c r="P89" s="88">
        <f t="shared" si="26"/>
        <v>0</v>
      </c>
    </row>
    <row r="90" spans="1:16" ht="26.4" x14ac:dyDescent="0.2">
      <c r="A90" s="152">
        <v>20</v>
      </c>
      <c r="B90" s="153" t="s">
        <v>56</v>
      </c>
      <c r="C90" s="154" t="s">
        <v>147</v>
      </c>
      <c r="D90" s="155" t="s">
        <v>58</v>
      </c>
      <c r="E90" s="156">
        <v>20</v>
      </c>
      <c r="F90" s="133"/>
      <c r="G90" s="134"/>
      <c r="H90" s="135">
        <f t="shared" si="16"/>
        <v>0</v>
      </c>
      <c r="I90" s="134"/>
      <c r="J90" s="134"/>
      <c r="K90" s="134">
        <f t="shared" si="17"/>
        <v>0</v>
      </c>
      <c r="L90" s="105">
        <f t="shared" si="22"/>
        <v>0</v>
      </c>
      <c r="M90" s="87">
        <f t="shared" si="23"/>
        <v>0</v>
      </c>
      <c r="N90" s="87">
        <f t="shared" si="24"/>
        <v>0</v>
      </c>
      <c r="O90" s="87">
        <f t="shared" si="25"/>
        <v>0</v>
      </c>
      <c r="P90" s="88">
        <f t="shared" si="26"/>
        <v>0</v>
      </c>
    </row>
    <row r="91" spans="1:16" ht="26.4" x14ac:dyDescent="0.2">
      <c r="A91" s="152">
        <v>21</v>
      </c>
      <c r="B91" s="153" t="s">
        <v>56</v>
      </c>
      <c r="C91" s="154" t="s">
        <v>148</v>
      </c>
      <c r="D91" s="155" t="s">
        <v>60</v>
      </c>
      <c r="E91" s="156">
        <v>1</v>
      </c>
      <c r="F91" s="133"/>
      <c r="G91" s="134"/>
      <c r="H91" s="135">
        <f t="shared" si="16"/>
        <v>0</v>
      </c>
      <c r="I91" s="134"/>
      <c r="J91" s="134"/>
      <c r="K91" s="134">
        <f t="shared" si="17"/>
        <v>0</v>
      </c>
      <c r="L91" s="105">
        <f t="shared" si="22"/>
        <v>0</v>
      </c>
      <c r="M91" s="87">
        <f t="shared" si="23"/>
        <v>0</v>
      </c>
      <c r="N91" s="87">
        <f t="shared" si="24"/>
        <v>0</v>
      </c>
      <c r="O91" s="87">
        <f t="shared" si="25"/>
        <v>0</v>
      </c>
      <c r="P91" s="88">
        <f t="shared" si="26"/>
        <v>0</v>
      </c>
    </row>
    <row r="92" spans="1:16" ht="13.2" x14ac:dyDescent="0.2">
      <c r="A92" s="152">
        <v>22</v>
      </c>
      <c r="B92" s="153" t="s">
        <v>56</v>
      </c>
      <c r="C92" s="154" t="s">
        <v>102</v>
      </c>
      <c r="D92" s="155" t="s">
        <v>103</v>
      </c>
      <c r="E92" s="156">
        <v>8</v>
      </c>
      <c r="F92" s="133"/>
      <c r="G92" s="134"/>
      <c r="H92" s="135">
        <f t="shared" si="16"/>
        <v>0</v>
      </c>
      <c r="I92" s="134"/>
      <c r="J92" s="134"/>
      <c r="K92" s="134">
        <f t="shared" si="17"/>
        <v>0</v>
      </c>
      <c r="L92" s="105">
        <f t="shared" si="22"/>
        <v>0</v>
      </c>
      <c r="M92" s="87">
        <f t="shared" si="23"/>
        <v>0</v>
      </c>
      <c r="N92" s="87">
        <f t="shared" si="24"/>
        <v>0</v>
      </c>
      <c r="O92" s="87">
        <f t="shared" si="25"/>
        <v>0</v>
      </c>
      <c r="P92" s="88">
        <f t="shared" si="26"/>
        <v>0</v>
      </c>
    </row>
    <row r="93" spans="1:16" ht="27" thickBot="1" x14ac:dyDescent="0.25">
      <c r="A93" s="152">
        <v>23</v>
      </c>
      <c r="B93" s="153" t="s">
        <v>56</v>
      </c>
      <c r="C93" s="154" t="s">
        <v>104</v>
      </c>
      <c r="D93" s="155" t="s">
        <v>105</v>
      </c>
      <c r="E93" s="156">
        <v>24</v>
      </c>
      <c r="F93" s="133"/>
      <c r="G93" s="134"/>
      <c r="H93" s="135">
        <f t="shared" si="16"/>
        <v>0</v>
      </c>
      <c r="I93" s="134"/>
      <c r="J93" s="134"/>
      <c r="K93" s="134">
        <f t="shared" si="17"/>
        <v>0</v>
      </c>
      <c r="L93" s="105">
        <f t="shared" si="22"/>
        <v>0</v>
      </c>
      <c r="M93" s="87">
        <f t="shared" si="23"/>
        <v>0</v>
      </c>
      <c r="N93" s="87">
        <f t="shared" si="24"/>
        <v>0</v>
      </c>
      <c r="O93" s="87">
        <f t="shared" si="25"/>
        <v>0</v>
      </c>
      <c r="P93" s="88">
        <f t="shared" si="26"/>
        <v>0</v>
      </c>
    </row>
    <row r="94" spans="1:16" ht="10.8" thickBot="1" x14ac:dyDescent="0.25">
      <c r="A94" s="282"/>
      <c r="B94" s="283"/>
      <c r="C94" s="283"/>
      <c r="D94" s="283"/>
      <c r="E94" s="283"/>
      <c r="F94" s="283"/>
      <c r="G94" s="283"/>
      <c r="H94" s="283"/>
      <c r="I94" s="283"/>
      <c r="J94" s="283"/>
      <c r="K94" s="284"/>
      <c r="L94" s="52">
        <f>SUM(L14:L93)</f>
        <v>0</v>
      </c>
      <c r="M94" s="53">
        <f>SUM(M14:M93)</f>
        <v>0</v>
      </c>
      <c r="N94" s="53">
        <f>SUM(N14:N93)</f>
        <v>0</v>
      </c>
      <c r="O94" s="53">
        <f>SUM(O14:O93)</f>
        <v>0</v>
      </c>
      <c r="P94" s="54">
        <f>SUM(P14:P93)</f>
        <v>0</v>
      </c>
    </row>
    <row r="95" spans="1:16" x14ac:dyDescent="0.2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</row>
    <row r="96" spans="1:16" x14ac:dyDescent="0.2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</row>
    <row r="97" spans="1:16" x14ac:dyDescent="0.2">
      <c r="A97" s="1" t="s">
        <v>18</v>
      </c>
      <c r="B97" s="14"/>
      <c r="C97" s="281">
        <f>'Kops a'!C35:H35</f>
        <v>0</v>
      </c>
      <c r="D97" s="281"/>
      <c r="E97" s="281"/>
      <c r="F97" s="281"/>
      <c r="G97" s="281"/>
      <c r="H97" s="281"/>
      <c r="I97" s="14"/>
      <c r="J97" s="14"/>
      <c r="K97" s="14"/>
      <c r="L97" s="14"/>
      <c r="M97" s="14"/>
      <c r="N97" s="14"/>
      <c r="O97" s="14"/>
      <c r="P97" s="14"/>
    </row>
    <row r="98" spans="1:16" x14ac:dyDescent="0.2">
      <c r="A98" s="14"/>
      <c r="B98" s="14"/>
      <c r="C98" s="216" t="s">
        <v>19</v>
      </c>
      <c r="D98" s="216"/>
      <c r="E98" s="216"/>
      <c r="F98" s="216"/>
      <c r="G98" s="216"/>
      <c r="H98" s="216"/>
      <c r="I98" s="14"/>
      <c r="J98" s="14"/>
      <c r="K98" s="14"/>
      <c r="L98" s="14"/>
      <c r="M98" s="14"/>
      <c r="N98" s="14"/>
      <c r="O98" s="14"/>
      <c r="P98" s="14"/>
    </row>
    <row r="99" spans="1:16" x14ac:dyDescent="0.2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</row>
    <row r="100" spans="1:16" x14ac:dyDescent="0.2">
      <c r="A100" s="70" t="str">
        <f>'Kops a'!A38</f>
        <v>Tāme sastādīta</v>
      </c>
      <c r="B100" s="71"/>
      <c r="C100" s="71"/>
      <c r="D100" s="71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</row>
    <row r="101" spans="1:16" x14ac:dyDescent="0.2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</row>
    <row r="102" spans="1:16" x14ac:dyDescent="0.2">
      <c r="A102" s="1" t="s">
        <v>38</v>
      </c>
      <c r="B102" s="14"/>
      <c r="C102" s="281">
        <f>'Kops a'!C40:H40</f>
        <v>0</v>
      </c>
      <c r="D102" s="281"/>
      <c r="E102" s="281"/>
      <c r="F102" s="281"/>
      <c r="G102" s="281"/>
      <c r="H102" s="281"/>
      <c r="I102" s="14"/>
      <c r="J102" s="14"/>
      <c r="K102" s="14"/>
      <c r="L102" s="14"/>
      <c r="M102" s="14"/>
      <c r="N102" s="14"/>
      <c r="O102" s="14"/>
      <c r="P102" s="14"/>
    </row>
    <row r="103" spans="1:16" x14ac:dyDescent="0.2">
      <c r="A103" s="14"/>
      <c r="B103" s="14"/>
      <c r="C103" s="216" t="s">
        <v>19</v>
      </c>
      <c r="D103" s="216"/>
      <c r="E103" s="216"/>
      <c r="F103" s="216"/>
      <c r="G103" s="216"/>
      <c r="H103" s="216"/>
      <c r="I103" s="14"/>
      <c r="J103" s="14"/>
      <c r="K103" s="14"/>
      <c r="L103" s="14"/>
      <c r="M103" s="14"/>
      <c r="N103" s="14"/>
      <c r="O103" s="14"/>
      <c r="P103" s="14"/>
    </row>
    <row r="104" spans="1:16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</row>
    <row r="105" spans="1:16" x14ac:dyDescent="0.2">
      <c r="A105" s="70" t="s">
        <v>84</v>
      </c>
      <c r="B105" s="71"/>
      <c r="C105" s="75">
        <f>'Kops a'!C43</f>
        <v>0</v>
      </c>
      <c r="D105" s="39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</row>
    <row r="106" spans="1:16" x14ac:dyDescent="0.2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</row>
  </sheetData>
  <mergeCells count="22">
    <mergeCell ref="C103:H103"/>
    <mergeCell ref="C4:I4"/>
    <mergeCell ref="F12:K12"/>
    <mergeCell ref="A9:F9"/>
    <mergeCell ref="J9:M9"/>
    <mergeCell ref="D8:L8"/>
    <mergeCell ref="A94:K94"/>
    <mergeCell ref="C97:H97"/>
    <mergeCell ref="C98:H98"/>
    <mergeCell ref="C102:H102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I14:J81 A14:G81 A83:G93 A82:C82 I83:J93">
    <cfRule type="cellIs" dxfId="369" priority="24" operator="equal">
      <formula>0</formula>
    </cfRule>
  </conditionalFormatting>
  <conditionalFormatting sqref="N9:O9 H14:H81 K14:P15 K83:K93 H83:H93 K16:K81 L16:P93">
    <cfRule type="cellIs" dxfId="368" priority="23" operator="equal">
      <formula>0</formula>
    </cfRule>
  </conditionalFormatting>
  <conditionalFormatting sqref="A9:F9">
    <cfRule type="containsText" dxfId="367" priority="2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366" priority="20" operator="equal">
      <formula>0</formula>
    </cfRule>
  </conditionalFormatting>
  <conditionalFormatting sqref="O10">
    <cfRule type="cellIs" dxfId="365" priority="19" operator="equal">
      <formula>"20__. gada __. _________"</formula>
    </cfRule>
  </conditionalFormatting>
  <conditionalFormatting sqref="A94:K94">
    <cfRule type="containsText" dxfId="364" priority="18" operator="containsText" text="Tiešās izmaksas kopā, t. sk. darba devēja sociālais nodoklis __.__% ">
      <formula>NOT(ISERROR(SEARCH("Tiešās izmaksas kopā, t. sk. darba devēja sociālais nodoklis __.__% ",A94)))</formula>
    </cfRule>
  </conditionalFormatting>
  <conditionalFormatting sqref="L94:P94">
    <cfRule type="cellIs" dxfId="363" priority="13" operator="equal">
      <formula>0</formula>
    </cfRule>
  </conditionalFormatting>
  <conditionalFormatting sqref="C4:I4">
    <cfRule type="cellIs" dxfId="362" priority="12" operator="equal">
      <formula>0</formula>
    </cfRule>
  </conditionalFormatting>
  <conditionalFormatting sqref="D5:L8">
    <cfRule type="cellIs" dxfId="361" priority="10" operator="equal">
      <formula>0</formula>
    </cfRule>
  </conditionalFormatting>
  <conditionalFormatting sqref="P10">
    <cfRule type="cellIs" dxfId="360" priority="9" operator="equal">
      <formula>"20__. gada __. _________"</formula>
    </cfRule>
  </conditionalFormatting>
  <conditionalFormatting sqref="C102:H102">
    <cfRule type="cellIs" dxfId="359" priority="6" operator="equal">
      <formula>0</formula>
    </cfRule>
  </conditionalFormatting>
  <conditionalFormatting sqref="C97:H97">
    <cfRule type="cellIs" dxfId="358" priority="5" operator="equal">
      <formula>0</formula>
    </cfRule>
  </conditionalFormatting>
  <conditionalFormatting sqref="C102:H102 C105 C97:H97">
    <cfRule type="cellIs" dxfId="357" priority="4" operator="equal">
      <formula>0</formula>
    </cfRule>
  </conditionalFormatting>
  <conditionalFormatting sqref="D1">
    <cfRule type="cellIs" dxfId="356" priority="3" operator="equal">
      <formula>0</formula>
    </cfRule>
  </conditionalFormatting>
  <conditionalFormatting sqref="I82:J82 D82:G82">
    <cfRule type="cellIs" dxfId="355" priority="2" operator="equal">
      <formula>0</formula>
    </cfRule>
  </conditionalFormatting>
  <conditionalFormatting sqref="H82 K82">
    <cfRule type="cellIs" dxfId="354" priority="1" operator="equal">
      <formula>0</formula>
    </cfRule>
  </conditionalFormatting>
  <pageMargins left="1.2649999999999999" right="0.7" top="0.75" bottom="0.75" header="0.3" footer="0.3"/>
  <pageSetup paperSize="9" scale="79" orientation="landscape" r:id="rId1"/>
  <rowBreaks count="1" manualBreakCount="1">
    <brk id="30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46B16A03-C867-4231-9EE2-FA19DDA4D492}">
            <xm:f>NOT(ISERROR(SEARCH("Tāme sastādīta ____. gada ___. ______________",A100)))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A100</xm:sqref>
        </x14:conditionalFormatting>
        <x14:conditionalFormatting xmlns:xm="http://schemas.microsoft.com/office/excel/2006/main">
          <x14:cfRule type="containsText" priority="7" operator="containsText" id="{2AF3CC58-04F0-4432-AA0F-D3D058C3CAD1}">
            <xm:f>NOT(ISERROR(SEARCH("Sertifikāta Nr. _________________________________",A105)))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A105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P59"/>
  <sheetViews>
    <sheetView zoomScaleNormal="100" zoomScaleSheetLayoutView="100" workbookViewId="0">
      <selection activeCell="D5" sqref="D5:L5"/>
    </sheetView>
  </sheetViews>
  <sheetFormatPr defaultColWidth="9.109375" defaultRowHeight="10.199999999999999" x14ac:dyDescent="0.2"/>
  <cols>
    <col min="1" max="1" width="4.5546875" style="1" customWidth="1"/>
    <col min="2" max="2" width="9.44140625" style="1" bestFit="1" customWidth="1"/>
    <col min="3" max="3" width="38.44140625" style="1" customWidth="1"/>
    <col min="4" max="4" width="5.88671875" style="1" customWidth="1"/>
    <col min="5" max="5" width="8.6640625" style="1" customWidth="1"/>
    <col min="6" max="6" width="4.88671875" style="1" bestFit="1" customWidth="1"/>
    <col min="7" max="7" width="4.88671875" style="1" customWidth="1"/>
    <col min="8" max="8" width="5.6640625" style="1" bestFit="1" customWidth="1"/>
    <col min="9" max="10" width="4.88671875" style="1" bestFit="1" customWidth="1"/>
    <col min="11" max="11" width="5.6640625" style="1" bestFit="1" customWidth="1"/>
    <col min="12" max="12" width="6.5546875" style="1" bestFit="1" customWidth="1"/>
    <col min="13" max="14" width="7.44140625" style="1" bestFit="1" customWidth="1"/>
    <col min="15" max="15" width="6.5546875" style="1" bestFit="1" customWidth="1"/>
    <col min="16" max="16" width="9" style="1" customWidth="1"/>
    <col min="17" max="16384" width="9.109375" style="1"/>
  </cols>
  <sheetData>
    <row r="1" spans="1:16" x14ac:dyDescent="0.2">
      <c r="A1" s="19"/>
      <c r="B1" s="19"/>
      <c r="C1" s="23" t="s">
        <v>39</v>
      </c>
      <c r="D1" s="40">
        <f>'Kops a'!A17</f>
        <v>0</v>
      </c>
      <c r="E1" s="19"/>
      <c r="F1" s="19"/>
      <c r="G1" s="19"/>
      <c r="H1" s="19"/>
      <c r="I1" s="19"/>
      <c r="J1" s="19"/>
      <c r="N1" s="22"/>
      <c r="O1" s="23"/>
      <c r="P1" s="24"/>
    </row>
    <row r="2" spans="1:16" x14ac:dyDescent="0.2">
      <c r="A2" s="25"/>
      <c r="B2" s="25"/>
      <c r="C2" s="264" t="s">
        <v>149</v>
      </c>
      <c r="D2" s="264"/>
      <c r="E2" s="264"/>
      <c r="F2" s="264"/>
      <c r="G2" s="264"/>
      <c r="H2" s="264"/>
      <c r="I2" s="264"/>
      <c r="J2" s="25"/>
    </row>
    <row r="3" spans="1:16" x14ac:dyDescent="0.2">
      <c r="A3" s="26"/>
      <c r="B3" s="26"/>
      <c r="C3" s="225" t="s">
        <v>23</v>
      </c>
      <c r="D3" s="225"/>
      <c r="E3" s="225"/>
      <c r="F3" s="225"/>
      <c r="G3" s="225"/>
      <c r="H3" s="225"/>
      <c r="I3" s="225"/>
      <c r="J3" s="26"/>
    </row>
    <row r="4" spans="1:16" x14ac:dyDescent="0.2">
      <c r="A4" s="26"/>
      <c r="B4" s="26"/>
      <c r="C4" s="265" t="s">
        <v>5</v>
      </c>
      <c r="D4" s="265"/>
      <c r="E4" s="265"/>
      <c r="F4" s="265"/>
      <c r="G4" s="265"/>
      <c r="H4" s="265"/>
      <c r="I4" s="265"/>
      <c r="J4" s="26"/>
    </row>
    <row r="5" spans="1:16" x14ac:dyDescent="0.2">
      <c r="A5" s="19"/>
      <c r="B5" s="19"/>
      <c r="C5" s="23" t="s">
        <v>6</v>
      </c>
      <c r="D5" s="278" t="str">
        <f>'Kops a'!D6</f>
        <v>DAUDZDZĪVOKĻU DZĪVOJAMĀ ĒKA</v>
      </c>
      <c r="E5" s="278"/>
      <c r="F5" s="278"/>
      <c r="G5" s="278"/>
      <c r="H5" s="278"/>
      <c r="I5" s="278"/>
      <c r="J5" s="278"/>
      <c r="K5" s="278"/>
      <c r="L5" s="278"/>
      <c r="M5" s="14"/>
      <c r="N5" s="14"/>
      <c r="O5" s="14"/>
      <c r="P5" s="14"/>
    </row>
    <row r="6" spans="1:16" x14ac:dyDescent="0.2">
      <c r="A6" s="19"/>
      <c r="B6" s="19"/>
      <c r="C6" s="23" t="s">
        <v>8</v>
      </c>
      <c r="D6" s="278" t="str">
        <f>'Kops a'!D7</f>
        <v>ENERGOEFEKTIVITĀTES PAAUGSTINĀŠANA DAUDZDZĪVOKĻU DZĪVOJAMAI ĒKAI</v>
      </c>
      <c r="E6" s="278"/>
      <c r="F6" s="278"/>
      <c r="G6" s="278"/>
      <c r="H6" s="278"/>
      <c r="I6" s="278"/>
      <c r="J6" s="278"/>
      <c r="K6" s="278"/>
      <c r="L6" s="278"/>
      <c r="M6" s="14"/>
      <c r="N6" s="14"/>
      <c r="O6" s="14"/>
      <c r="P6" s="14"/>
    </row>
    <row r="7" spans="1:16" x14ac:dyDescent="0.2">
      <c r="A7" s="19"/>
      <c r="B7" s="19"/>
      <c r="C7" s="23" t="s">
        <v>10</v>
      </c>
      <c r="D7" s="278" t="str">
        <f>'Kops a'!D8</f>
        <v>Mātera iela 23/25, Jelgava, ēkas kad. apz. 0900 001 0126 001</v>
      </c>
      <c r="E7" s="278"/>
      <c r="F7" s="278"/>
      <c r="G7" s="278"/>
      <c r="H7" s="278"/>
      <c r="I7" s="278"/>
      <c r="J7" s="278"/>
      <c r="K7" s="278"/>
      <c r="L7" s="278"/>
      <c r="M7" s="14"/>
      <c r="N7" s="14"/>
      <c r="O7" s="14"/>
      <c r="P7" s="14"/>
    </row>
    <row r="8" spans="1:16" x14ac:dyDescent="0.2">
      <c r="A8" s="19"/>
      <c r="B8" s="19"/>
      <c r="C8" s="210" t="s">
        <v>26</v>
      </c>
      <c r="D8" s="278">
        <f>'Kops a'!D9</f>
        <v>0</v>
      </c>
      <c r="E8" s="278"/>
      <c r="F8" s="278"/>
      <c r="G8" s="278"/>
      <c r="H8" s="278"/>
      <c r="I8" s="278"/>
      <c r="J8" s="278"/>
      <c r="K8" s="278"/>
      <c r="L8" s="278"/>
      <c r="M8" s="14"/>
      <c r="N8" s="14"/>
      <c r="O8" s="14"/>
      <c r="P8" s="14"/>
    </row>
    <row r="9" spans="1:16" ht="11.25" customHeight="1" x14ac:dyDescent="0.2">
      <c r="A9" s="266" t="s">
        <v>86</v>
      </c>
      <c r="B9" s="266"/>
      <c r="C9" s="266"/>
      <c r="D9" s="266"/>
      <c r="E9" s="266"/>
      <c r="F9" s="266"/>
      <c r="G9" s="27"/>
      <c r="H9" s="27"/>
      <c r="I9" s="27"/>
      <c r="J9" s="270" t="s">
        <v>42</v>
      </c>
      <c r="K9" s="270"/>
      <c r="L9" s="270"/>
      <c r="M9" s="270"/>
      <c r="N9" s="277">
        <f>P47</f>
        <v>0</v>
      </c>
      <c r="O9" s="277"/>
      <c r="P9" s="27"/>
    </row>
    <row r="10" spans="1:16" x14ac:dyDescent="0.2">
      <c r="A10" s="28"/>
      <c r="B10" s="29"/>
      <c r="C10" s="210"/>
      <c r="D10" s="19"/>
      <c r="E10" s="19"/>
      <c r="F10" s="19"/>
      <c r="G10" s="19"/>
      <c r="H10" s="19"/>
      <c r="I10" s="19"/>
      <c r="J10" s="19"/>
      <c r="K10" s="19"/>
      <c r="L10" s="25"/>
      <c r="M10" s="25"/>
      <c r="O10" s="73"/>
      <c r="P10" s="72" t="str">
        <f>A53</f>
        <v>Tāme sastādīta</v>
      </c>
    </row>
    <row r="11" spans="1:16" ht="10.8" thickBot="1" x14ac:dyDescent="0.25">
      <c r="A11" s="28"/>
      <c r="B11" s="29"/>
      <c r="C11" s="210"/>
      <c r="D11" s="19"/>
      <c r="E11" s="19"/>
      <c r="F11" s="19"/>
      <c r="G11" s="19"/>
      <c r="H11" s="19"/>
      <c r="I11" s="19"/>
      <c r="J11" s="19"/>
      <c r="K11" s="19"/>
      <c r="L11" s="30"/>
      <c r="M11" s="30"/>
      <c r="N11" s="31"/>
      <c r="O11" s="22"/>
      <c r="P11" s="19"/>
    </row>
    <row r="12" spans="1:16" x14ac:dyDescent="0.2">
      <c r="A12" s="236" t="s">
        <v>29</v>
      </c>
      <c r="B12" s="272" t="s">
        <v>43</v>
      </c>
      <c r="C12" s="268" t="s">
        <v>44</v>
      </c>
      <c r="D12" s="275" t="s">
        <v>45</v>
      </c>
      <c r="E12" s="279" t="s">
        <v>46</v>
      </c>
      <c r="F12" s="267" t="s">
        <v>47</v>
      </c>
      <c r="G12" s="268"/>
      <c r="H12" s="268"/>
      <c r="I12" s="268"/>
      <c r="J12" s="268"/>
      <c r="K12" s="269"/>
      <c r="L12" s="267" t="s">
        <v>48</v>
      </c>
      <c r="M12" s="268"/>
      <c r="N12" s="268"/>
      <c r="O12" s="268"/>
      <c r="P12" s="269"/>
    </row>
    <row r="13" spans="1:16" ht="126.75" customHeight="1" thickBot="1" x14ac:dyDescent="0.25">
      <c r="A13" s="271"/>
      <c r="B13" s="273"/>
      <c r="C13" s="274"/>
      <c r="D13" s="276"/>
      <c r="E13" s="280"/>
      <c r="F13" s="214" t="s">
        <v>49</v>
      </c>
      <c r="G13" s="215" t="s">
        <v>50</v>
      </c>
      <c r="H13" s="215" t="s">
        <v>51</v>
      </c>
      <c r="I13" s="215" t="s">
        <v>52</v>
      </c>
      <c r="J13" s="215" t="s">
        <v>53</v>
      </c>
      <c r="K13" s="51" t="s">
        <v>54</v>
      </c>
      <c r="L13" s="214" t="s">
        <v>49</v>
      </c>
      <c r="M13" s="215" t="s">
        <v>51</v>
      </c>
      <c r="N13" s="215" t="s">
        <v>52</v>
      </c>
      <c r="O13" s="215" t="s">
        <v>53</v>
      </c>
      <c r="P13" s="51" t="s">
        <v>54</v>
      </c>
    </row>
    <row r="14" spans="1:16" ht="13.2" x14ac:dyDescent="0.2">
      <c r="A14" s="121"/>
      <c r="B14" s="122"/>
      <c r="C14" s="123" t="s">
        <v>150</v>
      </c>
      <c r="D14" s="124"/>
      <c r="E14" s="125"/>
      <c r="F14" s="126"/>
      <c r="G14" s="127"/>
      <c r="H14" s="127"/>
      <c r="I14" s="127"/>
      <c r="J14" s="127"/>
      <c r="K14" s="150"/>
      <c r="L14" s="106"/>
      <c r="M14" s="89"/>
      <c r="N14" s="89"/>
      <c r="O14" s="89"/>
      <c r="P14" s="90"/>
    </row>
    <row r="15" spans="1:16" ht="26.4" x14ac:dyDescent="0.2">
      <c r="A15" s="160">
        <v>1</v>
      </c>
      <c r="B15" s="157" t="s">
        <v>56</v>
      </c>
      <c r="C15" s="161" t="s">
        <v>151</v>
      </c>
      <c r="D15" s="157" t="s">
        <v>60</v>
      </c>
      <c r="E15" s="162">
        <v>1</v>
      </c>
      <c r="F15" s="133"/>
      <c r="G15" s="134"/>
      <c r="H15" s="135">
        <f t="shared" ref="H15:H16" si="0">ROUND(F15*G15,2)</f>
        <v>0</v>
      </c>
      <c r="I15" s="134"/>
      <c r="J15" s="134"/>
      <c r="K15" s="134">
        <f t="shared" ref="K15:K16" si="1">ROUND(H15+J15+I15,2)</f>
        <v>0</v>
      </c>
      <c r="L15" s="105">
        <f t="shared" ref="L15" si="2">ROUND(E15*F15,2)</f>
        <v>0</v>
      </c>
      <c r="M15" s="87">
        <f t="shared" ref="M15" si="3">ROUND(E15*H15,2)</f>
        <v>0</v>
      </c>
      <c r="N15" s="87">
        <f t="shared" ref="N15" si="4">ROUND(E15*I15,2)</f>
        <v>0</v>
      </c>
      <c r="O15" s="87">
        <f t="shared" ref="O15" si="5">ROUND(E15*J15,2)</f>
        <v>0</v>
      </c>
      <c r="P15" s="88">
        <f t="shared" ref="P15" si="6">ROUND(O15+N15+M15,2)</f>
        <v>0</v>
      </c>
    </row>
    <row r="16" spans="1:16" ht="39.6" x14ac:dyDescent="0.2">
      <c r="A16" s="160">
        <v>2</v>
      </c>
      <c r="B16" s="157" t="s">
        <v>56</v>
      </c>
      <c r="C16" s="161" t="s">
        <v>152</v>
      </c>
      <c r="D16" s="157" t="s">
        <v>60</v>
      </c>
      <c r="E16" s="162">
        <v>1</v>
      </c>
      <c r="F16" s="133"/>
      <c r="G16" s="134"/>
      <c r="H16" s="135">
        <f t="shared" si="0"/>
        <v>0</v>
      </c>
      <c r="I16" s="134"/>
      <c r="J16" s="134"/>
      <c r="K16" s="134">
        <f t="shared" si="1"/>
        <v>0</v>
      </c>
      <c r="L16" s="105">
        <f t="shared" ref="L16:L46" si="7">ROUND(E16*F16,2)</f>
        <v>0</v>
      </c>
      <c r="M16" s="87">
        <f t="shared" ref="M16:M46" si="8">ROUND(E16*H16,2)</f>
        <v>0</v>
      </c>
      <c r="N16" s="87">
        <f t="shared" ref="N16:N46" si="9">ROUND(E16*I16,2)</f>
        <v>0</v>
      </c>
      <c r="O16" s="87">
        <f t="shared" ref="O16:O46" si="10">ROUND(E16*J16,2)</f>
        <v>0</v>
      </c>
      <c r="P16" s="88">
        <f t="shared" ref="P16:P46" si="11">ROUND(O16+N16+M16,2)</f>
        <v>0</v>
      </c>
    </row>
    <row r="17" spans="1:16" ht="13.2" x14ac:dyDescent="0.2">
      <c r="A17" s="152">
        <v>3</v>
      </c>
      <c r="B17" s="153" t="s">
        <v>56</v>
      </c>
      <c r="C17" s="154" t="s">
        <v>102</v>
      </c>
      <c r="D17" s="155" t="s">
        <v>103</v>
      </c>
      <c r="E17" s="156">
        <v>8</v>
      </c>
      <c r="F17" s="133"/>
      <c r="G17" s="134"/>
      <c r="H17" s="135">
        <f>ROUND(F17*G17,2)</f>
        <v>0</v>
      </c>
      <c r="I17" s="134"/>
      <c r="J17" s="134"/>
      <c r="K17" s="134">
        <f>ROUND(H17+J17+I17,2)</f>
        <v>0</v>
      </c>
      <c r="L17" s="105">
        <f t="shared" si="7"/>
        <v>0</v>
      </c>
      <c r="M17" s="87">
        <f t="shared" si="8"/>
        <v>0</v>
      </c>
      <c r="N17" s="87">
        <f t="shared" si="9"/>
        <v>0</v>
      </c>
      <c r="O17" s="87">
        <f t="shared" si="10"/>
        <v>0</v>
      </c>
      <c r="P17" s="88">
        <f t="shared" si="11"/>
        <v>0</v>
      </c>
    </row>
    <row r="18" spans="1:16" ht="26.4" x14ac:dyDescent="0.2">
      <c r="A18" s="160">
        <v>4</v>
      </c>
      <c r="B18" s="153" t="s">
        <v>56</v>
      </c>
      <c r="C18" s="154" t="s">
        <v>153</v>
      </c>
      <c r="D18" s="155" t="s">
        <v>105</v>
      </c>
      <c r="E18" s="156">
        <v>16</v>
      </c>
      <c r="F18" s="133"/>
      <c r="G18" s="134"/>
      <c r="H18" s="135">
        <f t="shared" ref="H18" si="12">ROUND(F18*G18,2)</f>
        <v>0</v>
      </c>
      <c r="I18" s="134"/>
      <c r="J18" s="134"/>
      <c r="K18" s="134">
        <f>ROUND(H18+J18+I18,2)</f>
        <v>0</v>
      </c>
      <c r="L18" s="105">
        <f t="shared" si="7"/>
        <v>0</v>
      </c>
      <c r="M18" s="87">
        <f t="shared" si="8"/>
        <v>0</v>
      </c>
      <c r="N18" s="87">
        <f t="shared" si="9"/>
        <v>0</v>
      </c>
      <c r="O18" s="87">
        <f t="shared" si="10"/>
        <v>0</v>
      </c>
      <c r="P18" s="88">
        <f t="shared" si="11"/>
        <v>0</v>
      </c>
    </row>
    <row r="19" spans="1:16" ht="26.4" x14ac:dyDescent="0.2">
      <c r="A19" s="137"/>
      <c r="B19" s="138"/>
      <c r="C19" s="139" t="s">
        <v>154</v>
      </c>
      <c r="D19" s="140"/>
      <c r="E19" s="141"/>
      <c r="F19" s="142"/>
      <c r="G19" s="143"/>
      <c r="H19" s="135"/>
      <c r="I19" s="143"/>
      <c r="J19" s="143"/>
      <c r="K19" s="143"/>
      <c r="L19" s="105"/>
      <c r="M19" s="87"/>
      <c r="N19" s="87"/>
      <c r="O19" s="87"/>
      <c r="P19" s="88"/>
    </row>
    <row r="20" spans="1:16" ht="39.6" x14ac:dyDescent="0.2">
      <c r="A20" s="160">
        <v>1</v>
      </c>
      <c r="B20" s="157" t="s">
        <v>56</v>
      </c>
      <c r="C20" s="163" t="s">
        <v>155</v>
      </c>
      <c r="D20" s="157" t="s">
        <v>70</v>
      </c>
      <c r="E20" s="162">
        <f>E23*0.15</f>
        <v>105</v>
      </c>
      <c r="F20" s="133"/>
      <c r="G20" s="134"/>
      <c r="H20" s="135">
        <f t="shared" ref="H20" si="13">ROUND(F20*G20,2)</f>
        <v>0</v>
      </c>
      <c r="I20" s="134"/>
      <c r="J20" s="134"/>
      <c r="K20" s="134">
        <f>ROUND(H20+J20+I20,2)</f>
        <v>0</v>
      </c>
      <c r="L20" s="105">
        <f t="shared" si="7"/>
        <v>0</v>
      </c>
      <c r="M20" s="87">
        <f t="shared" si="8"/>
        <v>0</v>
      </c>
      <c r="N20" s="87">
        <f t="shared" si="9"/>
        <v>0</v>
      </c>
      <c r="O20" s="87">
        <f t="shared" si="10"/>
        <v>0</v>
      </c>
      <c r="P20" s="88">
        <f t="shared" si="11"/>
        <v>0</v>
      </c>
    </row>
    <row r="21" spans="1:16" ht="13.2" x14ac:dyDescent="0.2">
      <c r="A21" s="160">
        <v>2</v>
      </c>
      <c r="B21" s="157"/>
      <c r="C21" s="164" t="s">
        <v>156</v>
      </c>
      <c r="D21" s="157" t="s">
        <v>157</v>
      </c>
      <c r="E21" s="162">
        <f>E20*0.18</f>
        <v>18.899999999999999</v>
      </c>
      <c r="F21" s="133"/>
      <c r="G21" s="134"/>
      <c r="H21" s="135"/>
      <c r="I21" s="134"/>
      <c r="J21" s="134"/>
      <c r="K21" s="134">
        <f t="shared" ref="K21:K22" si="14">ROUND(H21+J21+I21,2)</f>
        <v>0</v>
      </c>
      <c r="L21" s="105">
        <f t="shared" si="7"/>
        <v>0</v>
      </c>
      <c r="M21" s="87">
        <f t="shared" si="8"/>
        <v>0</v>
      </c>
      <c r="N21" s="87">
        <f t="shared" si="9"/>
        <v>0</v>
      </c>
      <c r="O21" s="87">
        <f t="shared" si="10"/>
        <v>0</v>
      </c>
      <c r="P21" s="88">
        <f t="shared" si="11"/>
        <v>0</v>
      </c>
    </row>
    <row r="22" spans="1:16" ht="13.2" x14ac:dyDescent="0.2">
      <c r="A22" s="160">
        <v>3</v>
      </c>
      <c r="B22" s="157"/>
      <c r="C22" s="164" t="s">
        <v>158</v>
      </c>
      <c r="D22" s="157" t="s">
        <v>70</v>
      </c>
      <c r="E22" s="162">
        <f>E20</f>
        <v>105</v>
      </c>
      <c r="F22" s="133"/>
      <c r="G22" s="134"/>
      <c r="H22" s="135"/>
      <c r="I22" s="134"/>
      <c r="J22" s="134"/>
      <c r="K22" s="134">
        <f t="shared" si="14"/>
        <v>0</v>
      </c>
      <c r="L22" s="105">
        <f t="shared" si="7"/>
        <v>0</v>
      </c>
      <c r="M22" s="87">
        <f t="shared" si="8"/>
        <v>0</v>
      </c>
      <c r="N22" s="87">
        <f t="shared" si="9"/>
        <v>0</v>
      </c>
      <c r="O22" s="87">
        <f t="shared" si="10"/>
        <v>0</v>
      </c>
      <c r="P22" s="88">
        <f t="shared" si="11"/>
        <v>0</v>
      </c>
    </row>
    <row r="23" spans="1:16" ht="26.4" x14ac:dyDescent="0.2">
      <c r="A23" s="160">
        <v>4</v>
      </c>
      <c r="B23" s="157" t="s">
        <v>56</v>
      </c>
      <c r="C23" s="163" t="s">
        <v>159</v>
      </c>
      <c r="D23" s="157" t="s">
        <v>70</v>
      </c>
      <c r="E23" s="162">
        <v>700</v>
      </c>
      <c r="F23" s="133"/>
      <c r="G23" s="134"/>
      <c r="H23" s="135">
        <f t="shared" ref="H23:H30" si="15">ROUND(F23*G23,2)</f>
        <v>0</v>
      </c>
      <c r="I23" s="134"/>
      <c r="J23" s="134"/>
      <c r="K23" s="134">
        <f>ROUND(H23+J23+I23,2)</f>
        <v>0</v>
      </c>
      <c r="L23" s="105">
        <f t="shared" si="7"/>
        <v>0</v>
      </c>
      <c r="M23" s="87">
        <f t="shared" si="8"/>
        <v>0</v>
      </c>
      <c r="N23" s="87">
        <f t="shared" si="9"/>
        <v>0</v>
      </c>
      <c r="O23" s="87">
        <f t="shared" si="10"/>
        <v>0</v>
      </c>
      <c r="P23" s="88">
        <f t="shared" si="11"/>
        <v>0</v>
      </c>
    </row>
    <row r="24" spans="1:16" ht="13.2" x14ac:dyDescent="0.2">
      <c r="A24" s="160">
        <v>5</v>
      </c>
      <c r="B24" s="157"/>
      <c r="C24" s="164" t="s">
        <v>160</v>
      </c>
      <c r="D24" s="157" t="s">
        <v>157</v>
      </c>
      <c r="E24" s="162">
        <f>E23*0.12</f>
        <v>84</v>
      </c>
      <c r="F24" s="133"/>
      <c r="G24" s="134"/>
      <c r="H24" s="135"/>
      <c r="I24" s="134"/>
      <c r="J24" s="134"/>
      <c r="K24" s="134">
        <f t="shared" ref="K24:K32" si="16">ROUND(H24+J24+I24,2)</f>
        <v>0</v>
      </c>
      <c r="L24" s="105">
        <f t="shared" si="7"/>
        <v>0</v>
      </c>
      <c r="M24" s="87">
        <f t="shared" si="8"/>
        <v>0</v>
      </c>
      <c r="N24" s="87">
        <f t="shared" si="9"/>
        <v>0</v>
      </c>
      <c r="O24" s="87">
        <f t="shared" si="10"/>
        <v>0</v>
      </c>
      <c r="P24" s="88">
        <f t="shared" si="11"/>
        <v>0</v>
      </c>
    </row>
    <row r="25" spans="1:16" ht="26.4" x14ac:dyDescent="0.2">
      <c r="A25" s="160">
        <v>6</v>
      </c>
      <c r="B25" s="157"/>
      <c r="C25" s="164" t="s">
        <v>161</v>
      </c>
      <c r="D25" s="157" t="s">
        <v>162</v>
      </c>
      <c r="E25" s="162">
        <f>E23*5</f>
        <v>3500</v>
      </c>
      <c r="F25" s="133"/>
      <c r="G25" s="134"/>
      <c r="H25" s="135"/>
      <c r="I25" s="134"/>
      <c r="J25" s="134"/>
      <c r="K25" s="134">
        <f t="shared" si="16"/>
        <v>0</v>
      </c>
      <c r="L25" s="105">
        <f t="shared" si="7"/>
        <v>0</v>
      </c>
      <c r="M25" s="87">
        <f t="shared" si="8"/>
        <v>0</v>
      </c>
      <c r="N25" s="87">
        <f t="shared" si="9"/>
        <v>0</v>
      </c>
      <c r="O25" s="87">
        <f t="shared" si="10"/>
        <v>0</v>
      </c>
      <c r="P25" s="88">
        <f t="shared" si="11"/>
        <v>0</v>
      </c>
    </row>
    <row r="26" spans="1:16" ht="26.4" x14ac:dyDescent="0.2">
      <c r="A26" s="160">
        <v>7</v>
      </c>
      <c r="B26" s="157" t="s">
        <v>56</v>
      </c>
      <c r="C26" s="163" t="s">
        <v>163</v>
      </c>
      <c r="D26" s="157" t="s">
        <v>70</v>
      </c>
      <c r="E26" s="162">
        <f>E23</f>
        <v>700</v>
      </c>
      <c r="F26" s="133"/>
      <c r="G26" s="134"/>
      <c r="H26" s="135">
        <f t="shared" si="15"/>
        <v>0</v>
      </c>
      <c r="I26" s="134"/>
      <c r="J26" s="134"/>
      <c r="K26" s="134">
        <f>ROUND(H26+J26+I26,2)</f>
        <v>0</v>
      </c>
      <c r="L26" s="105">
        <f t="shared" si="7"/>
        <v>0</v>
      </c>
      <c r="M26" s="87">
        <f t="shared" si="8"/>
        <v>0</v>
      </c>
      <c r="N26" s="87">
        <f t="shared" si="9"/>
        <v>0</v>
      </c>
      <c r="O26" s="87">
        <f t="shared" si="10"/>
        <v>0</v>
      </c>
      <c r="P26" s="88">
        <f t="shared" si="11"/>
        <v>0</v>
      </c>
    </row>
    <row r="27" spans="1:16" ht="13.2" x14ac:dyDescent="0.2">
      <c r="A27" s="160">
        <v>8</v>
      </c>
      <c r="B27" s="157"/>
      <c r="C27" s="164" t="s">
        <v>164</v>
      </c>
      <c r="D27" s="157" t="s">
        <v>165</v>
      </c>
      <c r="E27" s="162">
        <f>E26*5</f>
        <v>3500</v>
      </c>
      <c r="F27" s="133"/>
      <c r="G27" s="134"/>
      <c r="H27" s="135"/>
      <c r="I27" s="134"/>
      <c r="J27" s="134"/>
      <c r="K27" s="134">
        <f t="shared" ref="K27:K28" si="17">ROUND(H27+J27+I27,2)</f>
        <v>0</v>
      </c>
      <c r="L27" s="105">
        <f t="shared" si="7"/>
        <v>0</v>
      </c>
      <c r="M27" s="87">
        <f t="shared" si="8"/>
        <v>0</v>
      </c>
      <c r="N27" s="87">
        <f t="shared" si="9"/>
        <v>0</v>
      </c>
      <c r="O27" s="87">
        <f t="shared" si="10"/>
        <v>0</v>
      </c>
      <c r="P27" s="88">
        <f t="shared" si="11"/>
        <v>0</v>
      </c>
    </row>
    <row r="28" spans="1:16" ht="13.2" x14ac:dyDescent="0.2">
      <c r="A28" s="160">
        <v>9</v>
      </c>
      <c r="B28" s="157"/>
      <c r="C28" s="164" t="s">
        <v>166</v>
      </c>
      <c r="D28" s="157" t="s">
        <v>62</v>
      </c>
      <c r="E28" s="162">
        <f>ROUND(E26*5.5,0)</f>
        <v>3850</v>
      </c>
      <c r="F28" s="133"/>
      <c r="G28" s="134"/>
      <c r="H28" s="135"/>
      <c r="I28" s="134"/>
      <c r="J28" s="134"/>
      <c r="K28" s="134">
        <f t="shared" si="17"/>
        <v>0</v>
      </c>
      <c r="L28" s="105">
        <f t="shared" si="7"/>
        <v>0</v>
      </c>
      <c r="M28" s="87">
        <f t="shared" si="8"/>
        <v>0</v>
      </c>
      <c r="N28" s="87">
        <f t="shared" si="9"/>
        <v>0</v>
      </c>
      <c r="O28" s="87">
        <f t="shared" si="10"/>
        <v>0</v>
      </c>
      <c r="P28" s="88">
        <f t="shared" si="11"/>
        <v>0</v>
      </c>
    </row>
    <row r="29" spans="1:16" ht="26.4" x14ac:dyDescent="0.2">
      <c r="A29" s="160">
        <v>11</v>
      </c>
      <c r="B29" s="157"/>
      <c r="C29" s="164" t="s">
        <v>167</v>
      </c>
      <c r="D29" s="157" t="s">
        <v>70</v>
      </c>
      <c r="E29" s="162">
        <f>E26*1.02</f>
        <v>714</v>
      </c>
      <c r="F29" s="133"/>
      <c r="G29" s="134"/>
      <c r="H29" s="135"/>
      <c r="I29" s="134"/>
      <c r="J29" s="134"/>
      <c r="K29" s="134">
        <f t="shared" si="16"/>
        <v>0</v>
      </c>
      <c r="L29" s="105">
        <f t="shared" si="7"/>
        <v>0</v>
      </c>
      <c r="M29" s="87">
        <f t="shared" si="8"/>
        <v>0</v>
      </c>
      <c r="N29" s="87">
        <f t="shared" si="9"/>
        <v>0</v>
      </c>
      <c r="O29" s="87">
        <f t="shared" si="10"/>
        <v>0</v>
      </c>
      <c r="P29" s="88">
        <f t="shared" si="11"/>
        <v>0</v>
      </c>
    </row>
    <row r="30" spans="1:16" ht="26.4" x14ac:dyDescent="0.2">
      <c r="A30" s="160">
        <v>12</v>
      </c>
      <c r="B30" s="157" t="s">
        <v>56</v>
      </c>
      <c r="C30" s="163" t="s">
        <v>168</v>
      </c>
      <c r="D30" s="157" t="s">
        <v>70</v>
      </c>
      <c r="E30" s="162">
        <f>E26</f>
        <v>700</v>
      </c>
      <c r="F30" s="133"/>
      <c r="G30" s="134"/>
      <c r="H30" s="135">
        <f t="shared" si="15"/>
        <v>0</v>
      </c>
      <c r="I30" s="134"/>
      <c r="J30" s="134"/>
      <c r="K30" s="134">
        <f t="shared" si="16"/>
        <v>0</v>
      </c>
      <c r="L30" s="105">
        <f t="shared" si="7"/>
        <v>0</v>
      </c>
      <c r="M30" s="87">
        <f t="shared" si="8"/>
        <v>0</v>
      </c>
      <c r="N30" s="87">
        <f t="shared" si="9"/>
        <v>0</v>
      </c>
      <c r="O30" s="87">
        <f t="shared" si="10"/>
        <v>0</v>
      </c>
      <c r="P30" s="88">
        <f t="shared" si="11"/>
        <v>0</v>
      </c>
    </row>
    <row r="31" spans="1:16" ht="13.2" x14ac:dyDescent="0.2">
      <c r="A31" s="160">
        <v>13</v>
      </c>
      <c r="B31" s="157"/>
      <c r="C31" s="164" t="s">
        <v>169</v>
      </c>
      <c r="D31" s="157" t="s">
        <v>165</v>
      </c>
      <c r="E31" s="162">
        <f>E30*5</f>
        <v>3500</v>
      </c>
      <c r="F31" s="133"/>
      <c r="G31" s="134"/>
      <c r="H31" s="135"/>
      <c r="I31" s="134"/>
      <c r="J31" s="134"/>
      <c r="K31" s="134">
        <f t="shared" si="16"/>
        <v>0</v>
      </c>
      <c r="L31" s="105">
        <f t="shared" si="7"/>
        <v>0</v>
      </c>
      <c r="M31" s="87">
        <f t="shared" si="8"/>
        <v>0</v>
      </c>
      <c r="N31" s="87">
        <f t="shared" si="9"/>
        <v>0</v>
      </c>
      <c r="O31" s="87">
        <f t="shared" si="10"/>
        <v>0</v>
      </c>
      <c r="P31" s="88">
        <f t="shared" si="11"/>
        <v>0</v>
      </c>
    </row>
    <row r="32" spans="1:16" ht="13.2" x14ac:dyDescent="0.2">
      <c r="A32" s="160">
        <v>14</v>
      </c>
      <c r="B32" s="157"/>
      <c r="C32" s="164" t="s">
        <v>170</v>
      </c>
      <c r="D32" s="157" t="s">
        <v>70</v>
      </c>
      <c r="E32" s="162">
        <f>E30*1.2</f>
        <v>840</v>
      </c>
      <c r="F32" s="133"/>
      <c r="G32" s="134"/>
      <c r="H32" s="135"/>
      <c r="I32" s="134"/>
      <c r="J32" s="134"/>
      <c r="K32" s="134">
        <f t="shared" si="16"/>
        <v>0</v>
      </c>
      <c r="L32" s="105">
        <f t="shared" si="7"/>
        <v>0</v>
      </c>
      <c r="M32" s="87">
        <f t="shared" si="8"/>
        <v>0</v>
      </c>
      <c r="N32" s="87">
        <f t="shared" si="9"/>
        <v>0</v>
      </c>
      <c r="O32" s="87">
        <f t="shared" si="10"/>
        <v>0</v>
      </c>
      <c r="P32" s="88">
        <f t="shared" si="11"/>
        <v>0</v>
      </c>
    </row>
    <row r="33" spans="1:16" ht="26.4" x14ac:dyDescent="0.2">
      <c r="A33" s="165"/>
      <c r="B33" s="166"/>
      <c r="C33" s="167" t="s">
        <v>171</v>
      </c>
      <c r="D33" s="168"/>
      <c r="E33" s="169"/>
      <c r="F33" s="170"/>
      <c r="G33" s="171"/>
      <c r="H33" s="171"/>
      <c r="I33" s="171"/>
      <c r="J33" s="171"/>
      <c r="K33" s="171"/>
      <c r="L33" s="105"/>
      <c r="M33" s="87"/>
      <c r="N33" s="87"/>
      <c r="O33" s="87"/>
      <c r="P33" s="88"/>
    </row>
    <row r="34" spans="1:16" ht="26.4" x14ac:dyDescent="0.2">
      <c r="A34" s="160">
        <v>1</v>
      </c>
      <c r="B34" s="157" t="s">
        <v>56</v>
      </c>
      <c r="C34" s="163" t="s">
        <v>172</v>
      </c>
      <c r="D34" s="157" t="s">
        <v>70</v>
      </c>
      <c r="E34" s="172">
        <v>50</v>
      </c>
      <c r="F34" s="133"/>
      <c r="G34" s="134"/>
      <c r="H34" s="135">
        <f>ROUND(F34*G34,2)</f>
        <v>0</v>
      </c>
      <c r="I34" s="134"/>
      <c r="J34" s="134"/>
      <c r="K34" s="134">
        <f>ROUND(H34+J34+I34,2)</f>
        <v>0</v>
      </c>
      <c r="L34" s="105">
        <f t="shared" si="7"/>
        <v>0</v>
      </c>
      <c r="M34" s="87">
        <f t="shared" si="8"/>
        <v>0</v>
      </c>
      <c r="N34" s="87">
        <f t="shared" si="9"/>
        <v>0</v>
      </c>
      <c r="O34" s="87">
        <f t="shared" si="10"/>
        <v>0</v>
      </c>
      <c r="P34" s="88">
        <f t="shared" si="11"/>
        <v>0</v>
      </c>
    </row>
    <row r="35" spans="1:16" ht="13.2" x14ac:dyDescent="0.2">
      <c r="A35" s="160">
        <v>2</v>
      </c>
      <c r="B35" s="157"/>
      <c r="C35" s="164" t="s">
        <v>160</v>
      </c>
      <c r="D35" s="157" t="s">
        <v>157</v>
      </c>
      <c r="E35" s="162">
        <f>E20*0.12</f>
        <v>12.6</v>
      </c>
      <c r="F35" s="133"/>
      <c r="G35" s="134"/>
      <c r="H35" s="135"/>
      <c r="I35" s="134"/>
      <c r="J35" s="134"/>
      <c r="K35" s="134">
        <f t="shared" ref="K35:K46" si="18">ROUND(H35+J35+I35,2)</f>
        <v>0</v>
      </c>
      <c r="L35" s="105">
        <f t="shared" si="7"/>
        <v>0</v>
      </c>
      <c r="M35" s="87">
        <f t="shared" si="8"/>
        <v>0</v>
      </c>
      <c r="N35" s="87">
        <f t="shared" si="9"/>
        <v>0</v>
      </c>
      <c r="O35" s="87">
        <f t="shared" si="10"/>
        <v>0</v>
      </c>
      <c r="P35" s="88">
        <f t="shared" si="11"/>
        <v>0</v>
      </c>
    </row>
    <row r="36" spans="1:16" ht="26.4" x14ac:dyDescent="0.2">
      <c r="A36" s="160">
        <v>3</v>
      </c>
      <c r="B36" s="157"/>
      <c r="C36" s="164" t="s">
        <v>161</v>
      </c>
      <c r="D36" s="157" t="s">
        <v>162</v>
      </c>
      <c r="E36" s="173">
        <f>E20*5</f>
        <v>525</v>
      </c>
      <c r="F36" s="133"/>
      <c r="G36" s="134"/>
      <c r="H36" s="135"/>
      <c r="I36" s="134"/>
      <c r="J36" s="134"/>
      <c r="K36" s="134">
        <f t="shared" si="18"/>
        <v>0</v>
      </c>
      <c r="L36" s="105">
        <f t="shared" si="7"/>
        <v>0</v>
      </c>
      <c r="M36" s="87">
        <f t="shared" si="8"/>
        <v>0</v>
      </c>
      <c r="N36" s="87">
        <f t="shared" si="9"/>
        <v>0</v>
      </c>
      <c r="O36" s="87">
        <f t="shared" si="10"/>
        <v>0</v>
      </c>
      <c r="P36" s="88">
        <f t="shared" si="11"/>
        <v>0</v>
      </c>
    </row>
    <row r="37" spans="1:16" ht="13.2" x14ac:dyDescent="0.2">
      <c r="A37" s="160">
        <v>4</v>
      </c>
      <c r="B37" s="157" t="s">
        <v>56</v>
      </c>
      <c r="C37" s="163" t="s">
        <v>173</v>
      </c>
      <c r="D37" s="157" t="s">
        <v>70</v>
      </c>
      <c r="E37" s="162">
        <f>E20</f>
        <v>105</v>
      </c>
      <c r="F37" s="133"/>
      <c r="G37" s="134"/>
      <c r="H37" s="135">
        <f t="shared" ref="H37:H42" si="19">ROUND(F37*G37,2)</f>
        <v>0</v>
      </c>
      <c r="I37" s="134"/>
      <c r="J37" s="134"/>
      <c r="K37" s="134">
        <f>ROUND(H37+J37+I37,2)</f>
        <v>0</v>
      </c>
      <c r="L37" s="105">
        <f t="shared" si="7"/>
        <v>0</v>
      </c>
      <c r="M37" s="87">
        <f t="shared" si="8"/>
        <v>0</v>
      </c>
      <c r="N37" s="87">
        <f t="shared" si="9"/>
        <v>0</v>
      </c>
      <c r="O37" s="87">
        <f t="shared" si="10"/>
        <v>0</v>
      </c>
      <c r="P37" s="88">
        <f t="shared" si="11"/>
        <v>0</v>
      </c>
    </row>
    <row r="38" spans="1:16" ht="13.2" x14ac:dyDescent="0.2">
      <c r="A38" s="160">
        <v>5</v>
      </c>
      <c r="B38" s="157"/>
      <c r="C38" s="164" t="s">
        <v>160</v>
      </c>
      <c r="D38" s="157" t="s">
        <v>157</v>
      </c>
      <c r="E38" s="162">
        <f>E37*0.12</f>
        <v>12.6</v>
      </c>
      <c r="F38" s="133"/>
      <c r="G38" s="134"/>
      <c r="H38" s="135"/>
      <c r="I38" s="134"/>
      <c r="J38" s="134"/>
      <c r="K38" s="134">
        <f t="shared" ref="K38:K40" si="20">ROUND(H38+J38+I38,2)</f>
        <v>0</v>
      </c>
      <c r="L38" s="105">
        <f t="shared" si="7"/>
        <v>0</v>
      </c>
      <c r="M38" s="87">
        <f t="shared" si="8"/>
        <v>0</v>
      </c>
      <c r="N38" s="87">
        <f t="shared" si="9"/>
        <v>0</v>
      </c>
      <c r="O38" s="87">
        <f t="shared" si="10"/>
        <v>0</v>
      </c>
      <c r="P38" s="88">
        <f t="shared" si="11"/>
        <v>0</v>
      </c>
    </row>
    <row r="39" spans="1:16" ht="13.2" x14ac:dyDescent="0.2">
      <c r="A39" s="160">
        <v>6</v>
      </c>
      <c r="B39" s="157"/>
      <c r="C39" s="164" t="s">
        <v>174</v>
      </c>
      <c r="D39" s="157" t="s">
        <v>165</v>
      </c>
      <c r="E39" s="173">
        <f>E37*5</f>
        <v>525</v>
      </c>
      <c r="F39" s="133"/>
      <c r="G39" s="134"/>
      <c r="H39" s="135"/>
      <c r="I39" s="134"/>
      <c r="J39" s="134"/>
      <c r="K39" s="134">
        <f t="shared" si="20"/>
        <v>0</v>
      </c>
      <c r="L39" s="105">
        <f t="shared" si="7"/>
        <v>0</v>
      </c>
      <c r="M39" s="87">
        <f t="shared" si="8"/>
        <v>0</v>
      </c>
      <c r="N39" s="87">
        <f t="shared" si="9"/>
        <v>0</v>
      </c>
      <c r="O39" s="87">
        <f t="shared" si="10"/>
        <v>0</v>
      </c>
      <c r="P39" s="88">
        <f t="shared" si="11"/>
        <v>0</v>
      </c>
    </row>
    <row r="40" spans="1:16" ht="13.2" x14ac:dyDescent="0.2">
      <c r="A40" s="160">
        <v>7</v>
      </c>
      <c r="B40" s="157"/>
      <c r="C40" s="164" t="s">
        <v>175</v>
      </c>
      <c r="D40" s="157" t="s">
        <v>62</v>
      </c>
      <c r="E40" s="173">
        <f>ROUND(E20*8.15,0)</f>
        <v>856</v>
      </c>
      <c r="F40" s="133"/>
      <c r="G40" s="134"/>
      <c r="H40" s="135"/>
      <c r="I40" s="134"/>
      <c r="J40" s="134"/>
      <c r="K40" s="134">
        <f t="shared" si="20"/>
        <v>0</v>
      </c>
      <c r="L40" s="105">
        <f t="shared" si="7"/>
        <v>0</v>
      </c>
      <c r="M40" s="87">
        <f t="shared" si="8"/>
        <v>0</v>
      </c>
      <c r="N40" s="87">
        <f t="shared" si="9"/>
        <v>0</v>
      </c>
      <c r="O40" s="87">
        <f t="shared" si="10"/>
        <v>0</v>
      </c>
      <c r="P40" s="88">
        <f t="shared" si="11"/>
        <v>0</v>
      </c>
    </row>
    <row r="41" spans="1:16" ht="26.4" x14ac:dyDescent="0.2">
      <c r="A41" s="160">
        <v>9</v>
      </c>
      <c r="B41" s="157"/>
      <c r="C41" s="164" t="s">
        <v>176</v>
      </c>
      <c r="D41" s="157" t="s">
        <v>70</v>
      </c>
      <c r="E41" s="162">
        <f>E20*1.05</f>
        <v>110.25</v>
      </c>
      <c r="F41" s="133"/>
      <c r="G41" s="134"/>
      <c r="H41" s="135"/>
      <c r="I41" s="134"/>
      <c r="J41" s="134"/>
      <c r="K41" s="134">
        <f t="shared" si="18"/>
        <v>0</v>
      </c>
      <c r="L41" s="105">
        <f t="shared" si="7"/>
        <v>0</v>
      </c>
      <c r="M41" s="87">
        <f t="shared" si="8"/>
        <v>0</v>
      </c>
      <c r="N41" s="87">
        <f t="shared" si="9"/>
        <v>0</v>
      </c>
      <c r="O41" s="87">
        <f t="shared" si="10"/>
        <v>0</v>
      </c>
      <c r="P41" s="88">
        <f t="shared" si="11"/>
        <v>0</v>
      </c>
    </row>
    <row r="42" spans="1:16" ht="13.2" x14ac:dyDescent="0.2">
      <c r="A42" s="160">
        <v>11</v>
      </c>
      <c r="B42" s="157" t="s">
        <v>56</v>
      </c>
      <c r="C42" s="163" t="s">
        <v>177</v>
      </c>
      <c r="D42" s="157" t="s">
        <v>70</v>
      </c>
      <c r="E42" s="162">
        <f>E37</f>
        <v>105</v>
      </c>
      <c r="F42" s="133"/>
      <c r="G42" s="134"/>
      <c r="H42" s="135">
        <f t="shared" si="19"/>
        <v>0</v>
      </c>
      <c r="I42" s="134"/>
      <c r="J42" s="134"/>
      <c r="K42" s="134">
        <f t="shared" si="18"/>
        <v>0</v>
      </c>
      <c r="L42" s="105">
        <f t="shared" si="7"/>
        <v>0</v>
      </c>
      <c r="M42" s="87">
        <f t="shared" si="8"/>
        <v>0</v>
      </c>
      <c r="N42" s="87">
        <f t="shared" si="9"/>
        <v>0</v>
      </c>
      <c r="O42" s="87">
        <f t="shared" si="10"/>
        <v>0</v>
      </c>
      <c r="P42" s="88">
        <f t="shared" si="11"/>
        <v>0</v>
      </c>
    </row>
    <row r="43" spans="1:16" ht="13.2" x14ac:dyDescent="0.2">
      <c r="A43" s="160">
        <v>12</v>
      </c>
      <c r="B43" s="157"/>
      <c r="C43" s="164" t="s">
        <v>160</v>
      </c>
      <c r="D43" s="157" t="s">
        <v>157</v>
      </c>
      <c r="E43" s="162">
        <f>E42*0.12</f>
        <v>12.6</v>
      </c>
      <c r="F43" s="133"/>
      <c r="G43" s="134"/>
      <c r="H43" s="135"/>
      <c r="I43" s="134"/>
      <c r="J43" s="134"/>
      <c r="K43" s="134">
        <f t="shared" si="18"/>
        <v>0</v>
      </c>
      <c r="L43" s="105">
        <f t="shared" si="7"/>
        <v>0</v>
      </c>
      <c r="M43" s="87">
        <f t="shared" si="8"/>
        <v>0</v>
      </c>
      <c r="N43" s="87">
        <f t="shared" si="9"/>
        <v>0</v>
      </c>
      <c r="O43" s="87">
        <f t="shared" si="10"/>
        <v>0</v>
      </c>
      <c r="P43" s="88">
        <f t="shared" si="11"/>
        <v>0</v>
      </c>
    </row>
    <row r="44" spans="1:16" ht="13.2" x14ac:dyDescent="0.2">
      <c r="A44" s="160">
        <v>13</v>
      </c>
      <c r="B44" s="157"/>
      <c r="C44" s="164" t="s">
        <v>178</v>
      </c>
      <c r="D44" s="157" t="s">
        <v>165</v>
      </c>
      <c r="E44" s="173">
        <f>E42*4.5</f>
        <v>472.5</v>
      </c>
      <c r="F44" s="133"/>
      <c r="G44" s="134"/>
      <c r="H44" s="135"/>
      <c r="I44" s="134"/>
      <c r="J44" s="134"/>
      <c r="K44" s="134">
        <f t="shared" si="18"/>
        <v>0</v>
      </c>
      <c r="L44" s="105">
        <f t="shared" si="7"/>
        <v>0</v>
      </c>
      <c r="M44" s="87">
        <f t="shared" si="8"/>
        <v>0</v>
      </c>
      <c r="N44" s="87">
        <f t="shared" si="9"/>
        <v>0</v>
      </c>
      <c r="O44" s="87">
        <f t="shared" si="10"/>
        <v>0</v>
      </c>
      <c r="P44" s="88">
        <f t="shared" si="11"/>
        <v>0</v>
      </c>
    </row>
    <row r="45" spans="1:16" ht="13.2" x14ac:dyDescent="0.2">
      <c r="A45" s="160">
        <v>14</v>
      </c>
      <c r="B45" s="157"/>
      <c r="C45" s="164" t="s">
        <v>170</v>
      </c>
      <c r="D45" s="157" t="s">
        <v>70</v>
      </c>
      <c r="E45" s="162">
        <f>E42*1.2</f>
        <v>126</v>
      </c>
      <c r="F45" s="133"/>
      <c r="G45" s="134"/>
      <c r="H45" s="135"/>
      <c r="I45" s="134"/>
      <c r="J45" s="134"/>
      <c r="K45" s="134">
        <f t="shared" si="18"/>
        <v>0</v>
      </c>
      <c r="L45" s="105">
        <f t="shared" si="7"/>
        <v>0</v>
      </c>
      <c r="M45" s="87">
        <f t="shared" si="8"/>
        <v>0</v>
      </c>
      <c r="N45" s="87">
        <f t="shared" si="9"/>
        <v>0</v>
      </c>
      <c r="O45" s="87">
        <f t="shared" si="10"/>
        <v>0</v>
      </c>
      <c r="P45" s="88">
        <f t="shared" si="11"/>
        <v>0</v>
      </c>
    </row>
    <row r="46" spans="1:16" ht="13.8" thickBot="1" x14ac:dyDescent="0.25">
      <c r="A46" s="160">
        <v>15</v>
      </c>
      <c r="B46" s="157"/>
      <c r="C46" s="164" t="s">
        <v>179</v>
      </c>
      <c r="D46" s="157" t="s">
        <v>58</v>
      </c>
      <c r="E46" s="162">
        <f>5*5</f>
        <v>25</v>
      </c>
      <c r="F46" s="133"/>
      <c r="G46" s="134"/>
      <c r="H46" s="135"/>
      <c r="I46" s="134"/>
      <c r="J46" s="134"/>
      <c r="K46" s="134">
        <f t="shared" si="18"/>
        <v>0</v>
      </c>
      <c r="L46" s="105">
        <f t="shared" si="7"/>
        <v>0</v>
      </c>
      <c r="M46" s="87">
        <f t="shared" si="8"/>
        <v>0</v>
      </c>
      <c r="N46" s="87">
        <f t="shared" si="9"/>
        <v>0</v>
      </c>
      <c r="O46" s="87">
        <f t="shared" si="10"/>
        <v>0</v>
      </c>
      <c r="P46" s="88">
        <f t="shared" si="11"/>
        <v>0</v>
      </c>
    </row>
    <row r="47" spans="1:16" ht="12" customHeight="1" thickBot="1" x14ac:dyDescent="0.25">
      <c r="A47" s="285"/>
      <c r="B47" s="286"/>
      <c r="C47" s="286"/>
      <c r="D47" s="286"/>
      <c r="E47" s="286"/>
      <c r="F47" s="286"/>
      <c r="G47" s="286"/>
      <c r="H47" s="286"/>
      <c r="I47" s="286"/>
      <c r="J47" s="286"/>
      <c r="K47" s="287"/>
      <c r="L47" s="52">
        <f>SUM(L14:L46)</f>
        <v>0</v>
      </c>
      <c r="M47" s="53">
        <f>SUM(M14:M46)</f>
        <v>0</v>
      </c>
      <c r="N47" s="53">
        <f>SUM(N14:N46)</f>
        <v>0</v>
      </c>
      <c r="O47" s="53">
        <f>SUM(O14:O46)</f>
        <v>0</v>
      </c>
      <c r="P47" s="54">
        <f>SUM(P14:P46)</f>
        <v>0</v>
      </c>
    </row>
    <row r="48" spans="1:16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</row>
    <row r="49" spans="1:16" x14ac:dyDescent="0.2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</row>
    <row r="50" spans="1:16" x14ac:dyDescent="0.2">
      <c r="A50" s="1" t="s">
        <v>18</v>
      </c>
      <c r="B50" s="14"/>
      <c r="C50" s="281">
        <f>'Kops a'!C35:H35</f>
        <v>0</v>
      </c>
      <c r="D50" s="281"/>
      <c r="E50" s="281"/>
      <c r="F50" s="281"/>
      <c r="G50" s="281"/>
      <c r="H50" s="281"/>
      <c r="I50" s="14"/>
      <c r="J50" s="14"/>
      <c r="K50" s="14"/>
      <c r="L50" s="14"/>
      <c r="M50" s="14"/>
      <c r="N50" s="14"/>
      <c r="O50" s="14"/>
      <c r="P50" s="14"/>
    </row>
    <row r="51" spans="1:16" x14ac:dyDescent="0.2">
      <c r="A51" s="14"/>
      <c r="B51" s="14"/>
      <c r="C51" s="216" t="s">
        <v>19</v>
      </c>
      <c r="D51" s="216"/>
      <c r="E51" s="216"/>
      <c r="F51" s="216"/>
      <c r="G51" s="216"/>
      <c r="H51" s="216"/>
      <c r="I51" s="14"/>
      <c r="J51" s="14"/>
      <c r="K51" s="14"/>
      <c r="L51" s="14"/>
      <c r="M51" s="14"/>
      <c r="N51" s="14"/>
      <c r="O51" s="14"/>
      <c r="P51" s="14"/>
    </row>
    <row r="52" spans="1:16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</row>
    <row r="53" spans="1:16" x14ac:dyDescent="0.2">
      <c r="A53" s="70" t="str">
        <f>'Kops a'!A38</f>
        <v>Tāme sastādīta</v>
      </c>
      <c r="B53" s="71"/>
      <c r="C53" s="71"/>
      <c r="D53" s="71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</row>
    <row r="54" spans="1:16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</row>
    <row r="55" spans="1:16" x14ac:dyDescent="0.2">
      <c r="A55" s="1" t="s">
        <v>38</v>
      </c>
      <c r="B55" s="14"/>
      <c r="C55" s="281">
        <f>'Kops a'!C40:H40</f>
        <v>0</v>
      </c>
      <c r="D55" s="281"/>
      <c r="E55" s="281"/>
      <c r="F55" s="281"/>
      <c r="G55" s="281"/>
      <c r="H55" s="281"/>
      <c r="I55" s="14"/>
      <c r="J55" s="14"/>
      <c r="K55" s="14"/>
      <c r="L55" s="14"/>
      <c r="M55" s="14"/>
      <c r="N55" s="14"/>
      <c r="O55" s="14"/>
      <c r="P55" s="14"/>
    </row>
    <row r="56" spans="1:16" x14ac:dyDescent="0.2">
      <c r="A56" s="14"/>
      <c r="B56" s="14"/>
      <c r="C56" s="216" t="s">
        <v>19</v>
      </c>
      <c r="D56" s="216"/>
      <c r="E56" s="216"/>
      <c r="F56" s="216"/>
      <c r="G56" s="216"/>
      <c r="H56" s="216"/>
      <c r="I56" s="14"/>
      <c r="J56" s="14"/>
      <c r="K56" s="14"/>
      <c r="L56" s="14"/>
      <c r="M56" s="14"/>
      <c r="N56" s="14"/>
      <c r="O56" s="14"/>
      <c r="P56" s="14"/>
    </row>
    <row r="57" spans="1:16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</row>
    <row r="58" spans="1:16" x14ac:dyDescent="0.2">
      <c r="A58" s="70" t="s">
        <v>84</v>
      </c>
      <c r="B58" s="71"/>
      <c r="C58" s="75">
        <f>'Kops a'!C43</f>
        <v>0</v>
      </c>
      <c r="D58" s="39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</row>
    <row r="59" spans="1:16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</row>
  </sheetData>
  <mergeCells count="22">
    <mergeCell ref="C56:H56"/>
    <mergeCell ref="C4:I4"/>
    <mergeCell ref="F12:K12"/>
    <mergeCell ref="A9:F9"/>
    <mergeCell ref="J9:M9"/>
    <mergeCell ref="D8:L8"/>
    <mergeCell ref="A47:K47"/>
    <mergeCell ref="C50:H50"/>
    <mergeCell ref="C51:H51"/>
    <mergeCell ref="C55:H55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I15:J46 A15:G46">
    <cfRule type="cellIs" dxfId="351" priority="42" operator="equal">
      <formula>0</formula>
    </cfRule>
  </conditionalFormatting>
  <conditionalFormatting sqref="N9:O9 H14:H46 K14:P46">
    <cfRule type="cellIs" dxfId="350" priority="41" operator="equal">
      <formula>0</formula>
    </cfRule>
  </conditionalFormatting>
  <conditionalFormatting sqref="A9:F9">
    <cfRule type="containsText" dxfId="349" priority="39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348" priority="38" operator="equal">
      <formula>0</formula>
    </cfRule>
  </conditionalFormatting>
  <conditionalFormatting sqref="O10">
    <cfRule type="cellIs" dxfId="347" priority="37" operator="equal">
      <formula>"20__. gada __. _________"</formula>
    </cfRule>
  </conditionalFormatting>
  <conditionalFormatting sqref="A47:K47">
    <cfRule type="containsText" dxfId="346" priority="36" operator="containsText" text="Tiešās izmaksas kopā, t. sk. darba devēja sociālais nodoklis __.__% ">
      <formula>NOT(ISERROR(SEARCH("Tiešās izmaksas kopā, t. sk. darba devēja sociālais nodoklis __.__% ",A47)))</formula>
    </cfRule>
  </conditionalFormatting>
  <conditionalFormatting sqref="L47:P47">
    <cfRule type="cellIs" dxfId="345" priority="31" operator="equal">
      <formula>0</formula>
    </cfRule>
  </conditionalFormatting>
  <conditionalFormatting sqref="C4:I4">
    <cfRule type="cellIs" dxfId="344" priority="30" operator="equal">
      <formula>0</formula>
    </cfRule>
  </conditionalFormatting>
  <conditionalFormatting sqref="D5:L8">
    <cfRule type="cellIs" dxfId="343" priority="27" operator="equal">
      <formula>0</formula>
    </cfRule>
  </conditionalFormatting>
  <conditionalFormatting sqref="A14:B14 D14:G14">
    <cfRule type="cellIs" dxfId="342" priority="26" operator="equal">
      <formula>0</formula>
    </cfRule>
  </conditionalFormatting>
  <conditionalFormatting sqref="C14">
    <cfRule type="cellIs" dxfId="341" priority="25" operator="equal">
      <formula>0</formula>
    </cfRule>
  </conditionalFormatting>
  <conditionalFormatting sqref="I14:J14">
    <cfRule type="cellIs" dxfId="340" priority="24" operator="equal">
      <formula>0</formula>
    </cfRule>
  </conditionalFormatting>
  <conditionalFormatting sqref="P10">
    <cfRule type="cellIs" dxfId="339" priority="23" operator="equal">
      <formula>"20__. gada __. _________"</formula>
    </cfRule>
  </conditionalFormatting>
  <conditionalFormatting sqref="C55:H55">
    <cfRule type="cellIs" dxfId="338" priority="20" operator="equal">
      <formula>0</formula>
    </cfRule>
  </conditionalFormatting>
  <conditionalFormatting sqref="C50:H50">
    <cfRule type="cellIs" dxfId="337" priority="19" operator="equal">
      <formula>0</formula>
    </cfRule>
  </conditionalFormatting>
  <conditionalFormatting sqref="C55:H55 C58 C50:H50">
    <cfRule type="cellIs" dxfId="336" priority="18" operator="equal">
      <formula>0</formula>
    </cfRule>
  </conditionalFormatting>
  <conditionalFormatting sqref="D1">
    <cfRule type="cellIs" dxfId="335" priority="17" operator="equal">
      <formula>0</formula>
    </cfRule>
  </conditionalFormatting>
  <pageMargins left="0.7" right="0.7" top="0.75" bottom="0.75" header="0.3" footer="0.3"/>
  <pageSetup paperSize="9" scale="9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2" operator="containsText" id="{D422C369-7259-49E7-A89B-9D562DEE2E41}">
            <xm:f>NOT(ISERROR(SEARCH("Tāme sastādīta ____. gada ___. ______________",A53)))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A53</xm:sqref>
        </x14:conditionalFormatting>
        <x14:conditionalFormatting xmlns:xm="http://schemas.microsoft.com/office/excel/2006/main">
          <x14:cfRule type="containsText" priority="21" operator="containsText" id="{D859E3E6-089F-4F16-889A-98EF63E5F3AC}">
            <xm:f>NOT(ISERROR(SEARCH("Sertifikāta Nr. _________________________________",A58)))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Q56"/>
  <sheetViews>
    <sheetView zoomScale="85" zoomScaleNormal="85" zoomScaleSheetLayoutView="100" workbookViewId="0">
      <selection activeCell="D5" sqref="D5:L5"/>
    </sheetView>
  </sheetViews>
  <sheetFormatPr defaultColWidth="9.109375" defaultRowHeight="10.199999999999999" x14ac:dyDescent="0.2"/>
  <cols>
    <col min="1" max="1" width="4.5546875" style="1" customWidth="1"/>
    <col min="2" max="2" width="9.44140625" style="1" bestFit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5.6640625" style="1" bestFit="1" customWidth="1"/>
    <col min="8" max="8" width="6.6640625" style="1" customWidth="1"/>
    <col min="9" max="9" width="8.109375" style="1" bestFit="1" customWidth="1"/>
    <col min="10" max="10" width="4.6640625" style="1" bestFit="1" customWidth="1"/>
    <col min="11" max="11" width="8.109375" style="1" bestFit="1" customWidth="1"/>
    <col min="12" max="12" width="6.6640625" style="1" bestFit="1" customWidth="1"/>
    <col min="13" max="13" width="8.109375" style="1" bestFit="1" customWidth="1"/>
    <col min="14" max="14" width="8.109375" style="1" customWidth="1"/>
    <col min="15" max="15" width="6.6640625" style="1" bestFit="1" customWidth="1"/>
    <col min="16" max="16" width="9" style="1" customWidth="1"/>
    <col min="17" max="16384" width="9.109375" style="1"/>
  </cols>
  <sheetData>
    <row r="1" spans="1:17" x14ac:dyDescent="0.2">
      <c r="A1" s="19"/>
      <c r="B1" s="19"/>
      <c r="C1" s="23" t="s">
        <v>39</v>
      </c>
      <c r="D1" s="40">
        <f>'Kops a'!A18</f>
        <v>0</v>
      </c>
      <c r="E1" s="19"/>
      <c r="F1" s="19"/>
      <c r="G1" s="19"/>
      <c r="H1" s="19"/>
      <c r="I1" s="19"/>
      <c r="J1" s="19"/>
      <c r="N1" s="22"/>
      <c r="O1" s="23"/>
      <c r="P1" s="24"/>
    </row>
    <row r="2" spans="1:17" x14ac:dyDescent="0.2">
      <c r="A2" s="25"/>
      <c r="B2" s="25"/>
      <c r="C2" s="264" t="s">
        <v>180</v>
      </c>
      <c r="D2" s="264"/>
      <c r="E2" s="264"/>
      <c r="F2" s="264"/>
      <c r="G2" s="264"/>
      <c r="H2" s="264"/>
      <c r="I2" s="264"/>
      <c r="J2" s="25"/>
    </row>
    <row r="3" spans="1:17" x14ac:dyDescent="0.2">
      <c r="A3" s="26"/>
      <c r="B3" s="26"/>
      <c r="C3" s="225" t="s">
        <v>23</v>
      </c>
      <c r="D3" s="225"/>
      <c r="E3" s="225"/>
      <c r="F3" s="225"/>
      <c r="G3" s="225"/>
      <c r="H3" s="225"/>
      <c r="I3" s="225"/>
      <c r="J3" s="26"/>
    </row>
    <row r="4" spans="1:17" x14ac:dyDescent="0.2">
      <c r="A4" s="26"/>
      <c r="B4" s="26"/>
      <c r="C4" s="265" t="s">
        <v>5</v>
      </c>
      <c r="D4" s="265"/>
      <c r="E4" s="265"/>
      <c r="F4" s="265"/>
      <c r="G4" s="265"/>
      <c r="H4" s="265"/>
      <c r="I4" s="265"/>
      <c r="J4" s="26"/>
    </row>
    <row r="5" spans="1:17" x14ac:dyDescent="0.2">
      <c r="A5" s="19"/>
      <c r="B5" s="19"/>
      <c r="C5" s="23" t="s">
        <v>6</v>
      </c>
      <c r="D5" s="278" t="str">
        <f>'Kops a'!D6</f>
        <v>DAUDZDZĪVOKĻU DZĪVOJAMĀ ĒKA</v>
      </c>
      <c r="E5" s="278"/>
      <c r="F5" s="278"/>
      <c r="G5" s="278"/>
      <c r="H5" s="278"/>
      <c r="I5" s="278"/>
      <c r="J5" s="278"/>
      <c r="K5" s="278"/>
      <c r="L5" s="278"/>
      <c r="M5" s="14"/>
      <c r="N5" s="14"/>
      <c r="O5" s="14"/>
      <c r="P5" s="14"/>
    </row>
    <row r="6" spans="1:17" x14ac:dyDescent="0.2">
      <c r="A6" s="19"/>
      <c r="B6" s="19"/>
      <c r="C6" s="23" t="s">
        <v>8</v>
      </c>
      <c r="D6" s="278" t="str">
        <f>'Kops a'!D7</f>
        <v>ENERGOEFEKTIVITĀTES PAAUGSTINĀŠANA DAUDZDZĪVOKĻU DZĪVOJAMAI ĒKAI</v>
      </c>
      <c r="E6" s="278"/>
      <c r="F6" s="278"/>
      <c r="G6" s="278"/>
      <c r="H6" s="278"/>
      <c r="I6" s="278"/>
      <c r="J6" s="278"/>
      <c r="K6" s="278"/>
      <c r="L6" s="278"/>
      <c r="M6" s="14"/>
      <c r="N6" s="14"/>
      <c r="O6" s="14"/>
      <c r="P6" s="14"/>
    </row>
    <row r="7" spans="1:17" x14ac:dyDescent="0.2">
      <c r="A7" s="19"/>
      <c r="B7" s="19"/>
      <c r="C7" s="23" t="s">
        <v>10</v>
      </c>
      <c r="D7" s="278" t="str">
        <f>'Kops a'!D8</f>
        <v>Mātera iela 23/25, Jelgava, ēkas kad. apz. 0900 001 0126 001</v>
      </c>
      <c r="E7" s="278"/>
      <c r="F7" s="278"/>
      <c r="G7" s="278"/>
      <c r="H7" s="278"/>
      <c r="I7" s="278"/>
      <c r="J7" s="278"/>
      <c r="K7" s="278"/>
      <c r="L7" s="278"/>
      <c r="M7" s="14"/>
      <c r="N7" s="14"/>
      <c r="O7" s="14"/>
      <c r="P7" s="14"/>
    </row>
    <row r="8" spans="1:17" x14ac:dyDescent="0.2">
      <c r="A8" s="19"/>
      <c r="B8" s="19"/>
      <c r="C8" s="210" t="s">
        <v>26</v>
      </c>
      <c r="D8" s="278">
        <f>'Kops a'!D9</f>
        <v>0</v>
      </c>
      <c r="E8" s="278"/>
      <c r="F8" s="278"/>
      <c r="G8" s="278"/>
      <c r="H8" s="278"/>
      <c r="I8" s="278"/>
      <c r="J8" s="278"/>
      <c r="K8" s="278"/>
      <c r="L8" s="278"/>
      <c r="M8" s="14"/>
      <c r="N8" s="14"/>
      <c r="O8" s="14"/>
      <c r="P8" s="14"/>
    </row>
    <row r="9" spans="1:17" ht="11.25" customHeight="1" x14ac:dyDescent="0.2">
      <c r="A9" s="266" t="s">
        <v>86</v>
      </c>
      <c r="B9" s="266"/>
      <c r="C9" s="266"/>
      <c r="D9" s="266"/>
      <c r="E9" s="266"/>
      <c r="F9" s="266"/>
      <c r="G9" s="27"/>
      <c r="H9" s="27"/>
      <c r="I9" s="27"/>
      <c r="J9" s="270" t="s">
        <v>42</v>
      </c>
      <c r="K9" s="270"/>
      <c r="L9" s="270"/>
      <c r="M9" s="270"/>
      <c r="N9" s="277">
        <f>P44</f>
        <v>0</v>
      </c>
      <c r="O9" s="277"/>
      <c r="P9" s="27"/>
    </row>
    <row r="10" spans="1:17" x14ac:dyDescent="0.2">
      <c r="A10" s="28"/>
      <c r="B10" s="29"/>
      <c r="C10" s="210"/>
      <c r="D10" s="19"/>
      <c r="E10" s="19"/>
      <c r="F10" s="19"/>
      <c r="G10" s="19"/>
      <c r="H10" s="19"/>
      <c r="I10" s="19"/>
      <c r="J10" s="19"/>
      <c r="K10" s="19"/>
      <c r="L10" s="25"/>
      <c r="M10" s="25"/>
      <c r="O10" s="73"/>
      <c r="P10" s="72" t="str">
        <f>A50</f>
        <v>Tāme sastādīta</v>
      </c>
    </row>
    <row r="11" spans="1:17" ht="10.8" thickBot="1" x14ac:dyDescent="0.25">
      <c r="A11" s="28"/>
      <c r="B11" s="29"/>
      <c r="C11" s="210"/>
      <c r="D11" s="19"/>
      <c r="E11" s="19"/>
      <c r="F11" s="19"/>
      <c r="G11" s="19"/>
      <c r="H11" s="19"/>
      <c r="I11" s="19"/>
      <c r="J11" s="19"/>
      <c r="K11" s="19"/>
      <c r="L11" s="30"/>
      <c r="M11" s="30"/>
      <c r="N11" s="31"/>
      <c r="O11" s="22"/>
      <c r="P11" s="19"/>
    </row>
    <row r="12" spans="1:17" x14ac:dyDescent="0.2">
      <c r="A12" s="236" t="s">
        <v>29</v>
      </c>
      <c r="B12" s="272" t="s">
        <v>43</v>
      </c>
      <c r="C12" s="268" t="s">
        <v>44</v>
      </c>
      <c r="D12" s="275" t="s">
        <v>45</v>
      </c>
      <c r="E12" s="279" t="s">
        <v>46</v>
      </c>
      <c r="F12" s="267" t="s">
        <v>47</v>
      </c>
      <c r="G12" s="268"/>
      <c r="H12" s="268"/>
      <c r="I12" s="268"/>
      <c r="J12" s="268"/>
      <c r="K12" s="269"/>
      <c r="L12" s="267" t="s">
        <v>48</v>
      </c>
      <c r="M12" s="268"/>
      <c r="N12" s="268"/>
      <c r="O12" s="268"/>
      <c r="P12" s="269"/>
    </row>
    <row r="13" spans="1:17" ht="126.75" customHeight="1" thickBot="1" x14ac:dyDescent="0.25">
      <c r="A13" s="271"/>
      <c r="B13" s="273"/>
      <c r="C13" s="274"/>
      <c r="D13" s="276"/>
      <c r="E13" s="280"/>
      <c r="F13" s="214" t="s">
        <v>49</v>
      </c>
      <c r="G13" s="215" t="s">
        <v>50</v>
      </c>
      <c r="H13" s="215" t="s">
        <v>51</v>
      </c>
      <c r="I13" s="215" t="s">
        <v>52</v>
      </c>
      <c r="J13" s="215" t="s">
        <v>53</v>
      </c>
      <c r="K13" s="51" t="s">
        <v>54</v>
      </c>
      <c r="L13" s="214" t="s">
        <v>49</v>
      </c>
      <c r="M13" s="215" t="s">
        <v>51</v>
      </c>
      <c r="N13" s="215" t="s">
        <v>52</v>
      </c>
      <c r="O13" s="215" t="s">
        <v>53</v>
      </c>
      <c r="P13" s="51" t="s">
        <v>54</v>
      </c>
    </row>
    <row r="14" spans="1:17" ht="13.2" x14ac:dyDescent="0.2">
      <c r="A14" s="144"/>
      <c r="B14" s="145"/>
      <c r="C14" s="146" t="s">
        <v>181</v>
      </c>
      <c r="D14" s="147"/>
      <c r="E14" s="148">
        <v>120</v>
      </c>
      <c r="F14" s="149"/>
      <c r="G14" s="150"/>
      <c r="H14" s="151"/>
      <c r="I14" s="150"/>
      <c r="J14" s="150"/>
      <c r="K14" s="150"/>
      <c r="L14" s="106"/>
      <c r="M14" s="89"/>
      <c r="N14" s="89"/>
      <c r="O14" s="89"/>
      <c r="P14" s="90"/>
      <c r="Q14" s="19"/>
    </row>
    <row r="15" spans="1:17" ht="61.5" customHeight="1" x14ac:dyDescent="0.2">
      <c r="A15" s="152">
        <v>1</v>
      </c>
      <c r="B15" s="174" t="s">
        <v>56</v>
      </c>
      <c r="C15" s="154" t="s">
        <v>182</v>
      </c>
      <c r="D15" s="155" t="s">
        <v>62</v>
      </c>
      <c r="E15" s="156">
        <v>14</v>
      </c>
      <c r="F15" s="133"/>
      <c r="G15" s="134"/>
      <c r="H15" s="135">
        <f t="shared" ref="H15:H22" si="0">ROUND(F15*G15,2)</f>
        <v>0</v>
      </c>
      <c r="I15" s="134"/>
      <c r="J15" s="134"/>
      <c r="K15" s="134">
        <f t="shared" ref="K15:K29" si="1">ROUND(H15+J15+I15,2)</f>
        <v>0</v>
      </c>
      <c r="L15" s="105">
        <f t="shared" ref="L15" si="2">ROUND(E15*F15,2)</f>
        <v>0</v>
      </c>
      <c r="M15" s="87">
        <f t="shared" ref="M15" si="3">ROUND(E15*H15,2)</f>
        <v>0</v>
      </c>
      <c r="N15" s="87">
        <f t="shared" ref="N15" si="4">ROUND(E15*I15,2)</f>
        <v>0</v>
      </c>
      <c r="O15" s="87">
        <f t="shared" ref="O15" si="5">ROUND(E15*J15,2)</f>
        <v>0</v>
      </c>
      <c r="P15" s="88">
        <f t="shared" ref="P15" si="6">ROUND(O15+N15+M15,2)</f>
        <v>0</v>
      </c>
      <c r="Q15" s="19"/>
    </row>
    <row r="16" spans="1:17" ht="63" customHeight="1" x14ac:dyDescent="0.2">
      <c r="A16" s="152">
        <v>2</v>
      </c>
      <c r="B16" s="174" t="s">
        <v>56</v>
      </c>
      <c r="C16" s="154" t="s">
        <v>183</v>
      </c>
      <c r="D16" s="155" t="s">
        <v>62</v>
      </c>
      <c r="E16" s="156">
        <v>11</v>
      </c>
      <c r="F16" s="133"/>
      <c r="G16" s="134"/>
      <c r="H16" s="135">
        <f t="shared" si="0"/>
        <v>0</v>
      </c>
      <c r="I16" s="134"/>
      <c r="J16" s="134"/>
      <c r="K16" s="134">
        <f t="shared" si="1"/>
        <v>0</v>
      </c>
      <c r="L16" s="105">
        <f t="shared" ref="L16:L43" si="7">ROUND(E16*F16,2)</f>
        <v>0</v>
      </c>
      <c r="M16" s="87">
        <f t="shared" ref="M16:M43" si="8">ROUND(E16*H16,2)</f>
        <v>0</v>
      </c>
      <c r="N16" s="87">
        <f t="shared" ref="N16:N43" si="9">ROUND(E16*I16,2)</f>
        <v>0</v>
      </c>
      <c r="O16" s="87">
        <f t="shared" ref="O16:O43" si="10">ROUND(E16*J16,2)</f>
        <v>0</v>
      </c>
      <c r="P16" s="88">
        <f t="shared" ref="P16:P43" si="11">ROUND(O16+N16+M16,2)</f>
        <v>0</v>
      </c>
      <c r="Q16" s="19"/>
    </row>
    <row r="17" spans="1:17" ht="67.5" customHeight="1" x14ac:dyDescent="0.2">
      <c r="A17" s="152">
        <v>3</v>
      </c>
      <c r="B17" s="174" t="s">
        <v>56</v>
      </c>
      <c r="C17" s="154" t="s">
        <v>184</v>
      </c>
      <c r="D17" s="155" t="s">
        <v>62</v>
      </c>
      <c r="E17" s="156">
        <v>2</v>
      </c>
      <c r="F17" s="133"/>
      <c r="G17" s="134"/>
      <c r="H17" s="135">
        <f t="shared" si="0"/>
        <v>0</v>
      </c>
      <c r="I17" s="134"/>
      <c r="J17" s="134"/>
      <c r="K17" s="134">
        <f t="shared" si="1"/>
        <v>0</v>
      </c>
      <c r="L17" s="105">
        <f t="shared" si="7"/>
        <v>0</v>
      </c>
      <c r="M17" s="87">
        <f t="shared" si="8"/>
        <v>0</v>
      </c>
      <c r="N17" s="87">
        <f t="shared" si="9"/>
        <v>0</v>
      </c>
      <c r="O17" s="87">
        <f t="shared" si="10"/>
        <v>0</v>
      </c>
      <c r="P17" s="88">
        <f t="shared" si="11"/>
        <v>0</v>
      </c>
      <c r="Q17" s="19"/>
    </row>
    <row r="18" spans="1:17" ht="64.5" customHeight="1" x14ac:dyDescent="0.2">
      <c r="A18" s="152">
        <v>4</v>
      </c>
      <c r="B18" s="174" t="s">
        <v>56</v>
      </c>
      <c r="C18" s="154" t="s">
        <v>185</v>
      </c>
      <c r="D18" s="155" t="s">
        <v>62</v>
      </c>
      <c r="E18" s="156">
        <v>13</v>
      </c>
      <c r="F18" s="133"/>
      <c r="G18" s="134"/>
      <c r="H18" s="135">
        <f t="shared" si="0"/>
        <v>0</v>
      </c>
      <c r="I18" s="134"/>
      <c r="J18" s="134"/>
      <c r="K18" s="134">
        <f t="shared" si="1"/>
        <v>0</v>
      </c>
      <c r="L18" s="105">
        <f t="shared" si="7"/>
        <v>0</v>
      </c>
      <c r="M18" s="87">
        <f t="shared" si="8"/>
        <v>0</v>
      </c>
      <c r="N18" s="87">
        <f t="shared" si="9"/>
        <v>0</v>
      </c>
      <c r="O18" s="87">
        <f t="shared" si="10"/>
        <v>0</v>
      </c>
      <c r="P18" s="88">
        <f t="shared" si="11"/>
        <v>0</v>
      </c>
      <c r="Q18" s="19"/>
    </row>
    <row r="19" spans="1:17" ht="61.5" customHeight="1" x14ac:dyDescent="0.2">
      <c r="A19" s="152">
        <v>5</v>
      </c>
      <c r="B19" s="174" t="s">
        <v>56</v>
      </c>
      <c r="C19" s="154" t="s">
        <v>186</v>
      </c>
      <c r="D19" s="155" t="s">
        <v>62</v>
      </c>
      <c r="E19" s="156">
        <v>3</v>
      </c>
      <c r="F19" s="133"/>
      <c r="G19" s="134"/>
      <c r="H19" s="135">
        <f t="shared" si="0"/>
        <v>0</v>
      </c>
      <c r="I19" s="134"/>
      <c r="J19" s="134"/>
      <c r="K19" s="134">
        <f t="shared" si="1"/>
        <v>0</v>
      </c>
      <c r="L19" s="105">
        <f t="shared" si="7"/>
        <v>0</v>
      </c>
      <c r="M19" s="87">
        <f t="shared" si="8"/>
        <v>0</v>
      </c>
      <c r="N19" s="87">
        <f t="shared" si="9"/>
        <v>0</v>
      </c>
      <c r="O19" s="87">
        <f t="shared" si="10"/>
        <v>0</v>
      </c>
      <c r="P19" s="88">
        <f t="shared" si="11"/>
        <v>0</v>
      </c>
      <c r="Q19" s="19"/>
    </row>
    <row r="20" spans="1:17" ht="39.6" x14ac:dyDescent="0.2">
      <c r="A20" s="152">
        <v>6</v>
      </c>
      <c r="B20" s="174" t="s">
        <v>56</v>
      </c>
      <c r="C20" s="154" t="s">
        <v>187</v>
      </c>
      <c r="D20" s="155" t="s">
        <v>62</v>
      </c>
      <c r="E20" s="156">
        <v>1</v>
      </c>
      <c r="F20" s="133"/>
      <c r="G20" s="134"/>
      <c r="H20" s="135">
        <f t="shared" si="0"/>
        <v>0</v>
      </c>
      <c r="I20" s="134"/>
      <c r="J20" s="134"/>
      <c r="K20" s="134">
        <f t="shared" si="1"/>
        <v>0</v>
      </c>
      <c r="L20" s="105">
        <f t="shared" si="7"/>
        <v>0</v>
      </c>
      <c r="M20" s="87">
        <f t="shared" si="8"/>
        <v>0</v>
      </c>
      <c r="N20" s="87">
        <f t="shared" si="9"/>
        <v>0</v>
      </c>
      <c r="O20" s="87">
        <f t="shared" si="10"/>
        <v>0</v>
      </c>
      <c r="P20" s="88">
        <f t="shared" si="11"/>
        <v>0</v>
      </c>
      <c r="Q20" s="19"/>
    </row>
    <row r="21" spans="1:17" ht="66" x14ac:dyDescent="0.2">
      <c r="A21" s="152">
        <v>7</v>
      </c>
      <c r="B21" s="174" t="s">
        <v>56</v>
      </c>
      <c r="C21" s="154" t="s">
        <v>188</v>
      </c>
      <c r="D21" s="155" t="s">
        <v>62</v>
      </c>
      <c r="E21" s="156">
        <v>16</v>
      </c>
      <c r="F21" s="133"/>
      <c r="G21" s="134"/>
      <c r="H21" s="135">
        <f t="shared" si="0"/>
        <v>0</v>
      </c>
      <c r="I21" s="134"/>
      <c r="J21" s="134"/>
      <c r="K21" s="134">
        <f t="shared" si="1"/>
        <v>0</v>
      </c>
      <c r="L21" s="105">
        <f t="shared" si="7"/>
        <v>0</v>
      </c>
      <c r="M21" s="87">
        <f t="shared" si="8"/>
        <v>0</v>
      </c>
      <c r="N21" s="87">
        <f t="shared" si="9"/>
        <v>0</v>
      </c>
      <c r="O21" s="87">
        <f t="shared" si="10"/>
        <v>0</v>
      </c>
      <c r="P21" s="88">
        <f t="shared" si="11"/>
        <v>0</v>
      </c>
      <c r="Q21" s="19"/>
    </row>
    <row r="22" spans="1:17" ht="39.6" x14ac:dyDescent="0.2">
      <c r="A22" s="152">
        <v>8</v>
      </c>
      <c r="B22" s="174" t="s">
        <v>56</v>
      </c>
      <c r="C22" s="154" t="s">
        <v>189</v>
      </c>
      <c r="D22" s="155" t="s">
        <v>62</v>
      </c>
      <c r="E22" s="156">
        <v>8</v>
      </c>
      <c r="F22" s="133"/>
      <c r="G22" s="134"/>
      <c r="H22" s="135">
        <f t="shared" si="0"/>
        <v>0</v>
      </c>
      <c r="I22" s="134"/>
      <c r="J22" s="134"/>
      <c r="K22" s="134">
        <f t="shared" si="1"/>
        <v>0</v>
      </c>
      <c r="L22" s="105">
        <f t="shared" si="7"/>
        <v>0</v>
      </c>
      <c r="M22" s="87">
        <f t="shared" si="8"/>
        <v>0</v>
      </c>
      <c r="N22" s="87">
        <f t="shared" si="9"/>
        <v>0</v>
      </c>
      <c r="O22" s="87">
        <f t="shared" si="10"/>
        <v>0</v>
      </c>
      <c r="P22" s="88">
        <f t="shared" si="11"/>
        <v>0</v>
      </c>
    </row>
    <row r="23" spans="1:17" ht="26.4" x14ac:dyDescent="0.2">
      <c r="A23" s="152">
        <v>9</v>
      </c>
      <c r="B23" s="174" t="s">
        <v>56</v>
      </c>
      <c r="C23" s="154" t="s">
        <v>190</v>
      </c>
      <c r="D23" s="155" t="s">
        <v>62</v>
      </c>
      <c r="E23" s="156">
        <v>212</v>
      </c>
      <c r="F23" s="133"/>
      <c r="G23" s="134"/>
      <c r="H23" s="135">
        <f>ROUND(F23*G23,2)</f>
        <v>0</v>
      </c>
      <c r="I23" s="134"/>
      <c r="J23" s="134"/>
      <c r="K23" s="134">
        <f t="shared" si="1"/>
        <v>0</v>
      </c>
      <c r="L23" s="105">
        <f t="shared" si="7"/>
        <v>0</v>
      </c>
      <c r="M23" s="87">
        <f t="shared" si="8"/>
        <v>0</v>
      </c>
      <c r="N23" s="87">
        <f t="shared" si="9"/>
        <v>0</v>
      </c>
      <c r="O23" s="87">
        <f t="shared" si="10"/>
        <v>0</v>
      </c>
      <c r="P23" s="88">
        <f t="shared" si="11"/>
        <v>0</v>
      </c>
    </row>
    <row r="24" spans="1:17" ht="13.2" x14ac:dyDescent="0.2">
      <c r="A24" s="152">
        <v>10</v>
      </c>
      <c r="B24" s="174" t="s">
        <v>56</v>
      </c>
      <c r="C24" s="175" t="s">
        <v>191</v>
      </c>
      <c r="D24" s="176" t="s">
        <v>58</v>
      </c>
      <c r="E24" s="156">
        <f>25+3.5+49+10.7</f>
        <v>88.2</v>
      </c>
      <c r="F24" s="133"/>
      <c r="G24" s="134"/>
      <c r="H24" s="135">
        <f t="shared" ref="H24:H29" si="12">ROUND(F24*G24,2)</f>
        <v>0</v>
      </c>
      <c r="I24" s="134"/>
      <c r="J24" s="134"/>
      <c r="K24" s="134">
        <f t="shared" si="1"/>
        <v>0</v>
      </c>
      <c r="L24" s="105">
        <f t="shared" si="7"/>
        <v>0</v>
      </c>
      <c r="M24" s="87">
        <f t="shared" si="8"/>
        <v>0</v>
      </c>
      <c r="N24" s="87">
        <f t="shared" si="9"/>
        <v>0</v>
      </c>
      <c r="O24" s="87">
        <f t="shared" si="10"/>
        <v>0</v>
      </c>
      <c r="P24" s="88">
        <f t="shared" si="11"/>
        <v>0</v>
      </c>
    </row>
    <row r="25" spans="1:17" ht="13.2" x14ac:dyDescent="0.2">
      <c r="A25" s="152">
        <v>11</v>
      </c>
      <c r="B25" s="174" t="s">
        <v>56</v>
      </c>
      <c r="C25" s="154" t="s">
        <v>192</v>
      </c>
      <c r="D25" s="155" t="s">
        <v>58</v>
      </c>
      <c r="E25" s="156">
        <f>224+26+204+10.7</f>
        <v>464.7</v>
      </c>
      <c r="F25" s="133"/>
      <c r="G25" s="134"/>
      <c r="H25" s="135">
        <f t="shared" si="12"/>
        <v>0</v>
      </c>
      <c r="I25" s="134"/>
      <c r="J25" s="134"/>
      <c r="K25" s="134">
        <f t="shared" si="1"/>
        <v>0</v>
      </c>
      <c r="L25" s="105">
        <f t="shared" si="7"/>
        <v>0</v>
      </c>
      <c r="M25" s="87">
        <f t="shared" si="8"/>
        <v>0</v>
      </c>
      <c r="N25" s="87">
        <f t="shared" si="9"/>
        <v>0</v>
      </c>
      <c r="O25" s="87">
        <f t="shared" si="10"/>
        <v>0</v>
      </c>
      <c r="P25" s="88">
        <f t="shared" si="11"/>
        <v>0</v>
      </c>
    </row>
    <row r="26" spans="1:17" ht="26.4" x14ac:dyDescent="0.2">
      <c r="A26" s="152">
        <v>12</v>
      </c>
      <c r="B26" s="174" t="s">
        <v>56</v>
      </c>
      <c r="C26" s="163" t="s">
        <v>193</v>
      </c>
      <c r="D26" s="157" t="s">
        <v>58</v>
      </c>
      <c r="E26" s="162">
        <f>100+14+179+25.1</f>
        <v>318.10000000000002</v>
      </c>
      <c r="F26" s="133"/>
      <c r="G26" s="134"/>
      <c r="H26" s="135">
        <f t="shared" si="12"/>
        <v>0</v>
      </c>
      <c r="I26" s="134"/>
      <c r="J26" s="134"/>
      <c r="K26" s="134">
        <f t="shared" si="1"/>
        <v>0</v>
      </c>
      <c r="L26" s="105">
        <f t="shared" si="7"/>
        <v>0</v>
      </c>
      <c r="M26" s="87">
        <f t="shared" si="8"/>
        <v>0</v>
      </c>
      <c r="N26" s="87">
        <f t="shared" si="9"/>
        <v>0</v>
      </c>
      <c r="O26" s="87">
        <f t="shared" si="10"/>
        <v>0</v>
      </c>
      <c r="P26" s="88">
        <f t="shared" si="11"/>
        <v>0</v>
      </c>
    </row>
    <row r="27" spans="1:17" ht="13.2" x14ac:dyDescent="0.2">
      <c r="A27" s="152">
        <v>13</v>
      </c>
      <c r="B27" s="174" t="s">
        <v>56</v>
      </c>
      <c r="C27" s="163" t="s">
        <v>194</v>
      </c>
      <c r="D27" s="157" t="s">
        <v>58</v>
      </c>
      <c r="E27" s="162">
        <f>841.2+92+751+50</f>
        <v>1734.2</v>
      </c>
      <c r="F27" s="133"/>
      <c r="G27" s="134"/>
      <c r="H27" s="135">
        <f t="shared" si="12"/>
        <v>0</v>
      </c>
      <c r="I27" s="134"/>
      <c r="J27" s="134"/>
      <c r="K27" s="134">
        <f t="shared" si="1"/>
        <v>0</v>
      </c>
      <c r="L27" s="105">
        <f t="shared" si="7"/>
        <v>0</v>
      </c>
      <c r="M27" s="87">
        <f t="shared" si="8"/>
        <v>0</v>
      </c>
      <c r="N27" s="87">
        <f t="shared" si="9"/>
        <v>0</v>
      </c>
      <c r="O27" s="87">
        <f t="shared" si="10"/>
        <v>0</v>
      </c>
      <c r="P27" s="88">
        <f t="shared" si="11"/>
        <v>0</v>
      </c>
    </row>
    <row r="28" spans="1:17" ht="13.2" x14ac:dyDescent="0.2">
      <c r="A28" s="152">
        <v>14</v>
      </c>
      <c r="B28" s="174" t="s">
        <v>56</v>
      </c>
      <c r="C28" s="154" t="s">
        <v>195</v>
      </c>
      <c r="D28" s="155" t="s">
        <v>58</v>
      </c>
      <c r="E28" s="156">
        <f>E26-E24</f>
        <v>229.90000000000003</v>
      </c>
      <c r="F28" s="133"/>
      <c r="G28" s="134"/>
      <c r="H28" s="135">
        <f t="shared" si="12"/>
        <v>0</v>
      </c>
      <c r="I28" s="134"/>
      <c r="J28" s="134"/>
      <c r="K28" s="134">
        <f t="shared" si="1"/>
        <v>0</v>
      </c>
      <c r="L28" s="105">
        <f t="shared" si="7"/>
        <v>0</v>
      </c>
      <c r="M28" s="87">
        <f t="shared" si="8"/>
        <v>0</v>
      </c>
      <c r="N28" s="87">
        <f t="shared" si="9"/>
        <v>0</v>
      </c>
      <c r="O28" s="87">
        <f t="shared" si="10"/>
        <v>0</v>
      </c>
      <c r="P28" s="88">
        <f t="shared" si="11"/>
        <v>0</v>
      </c>
    </row>
    <row r="29" spans="1:17" ht="13.2" x14ac:dyDescent="0.2">
      <c r="A29" s="152">
        <v>15</v>
      </c>
      <c r="B29" s="174" t="s">
        <v>56</v>
      </c>
      <c r="C29" s="154" t="s">
        <v>196</v>
      </c>
      <c r="D29" s="155" t="s">
        <v>60</v>
      </c>
      <c r="E29" s="156">
        <f>SUM(E15:E22)</f>
        <v>68</v>
      </c>
      <c r="F29" s="133"/>
      <c r="G29" s="134"/>
      <c r="H29" s="135">
        <f t="shared" si="12"/>
        <v>0</v>
      </c>
      <c r="I29" s="134"/>
      <c r="J29" s="134"/>
      <c r="K29" s="134">
        <f t="shared" si="1"/>
        <v>0</v>
      </c>
      <c r="L29" s="105">
        <f t="shared" si="7"/>
        <v>0</v>
      </c>
      <c r="M29" s="87">
        <f t="shared" si="8"/>
        <v>0</v>
      </c>
      <c r="N29" s="87">
        <f t="shared" si="9"/>
        <v>0</v>
      </c>
      <c r="O29" s="87">
        <f t="shared" si="10"/>
        <v>0</v>
      </c>
      <c r="P29" s="88">
        <f t="shared" si="11"/>
        <v>0</v>
      </c>
    </row>
    <row r="30" spans="1:17" s="94" customFormat="1" ht="26.4" x14ac:dyDescent="0.2">
      <c r="A30" s="177"/>
      <c r="B30" s="80"/>
      <c r="C30" s="178" t="s">
        <v>197</v>
      </c>
      <c r="D30" s="179"/>
      <c r="E30" s="180"/>
      <c r="F30" s="86"/>
      <c r="G30" s="181"/>
      <c r="H30" s="182"/>
      <c r="I30" s="181"/>
      <c r="J30" s="181"/>
      <c r="K30" s="181"/>
      <c r="L30" s="105"/>
      <c r="M30" s="87"/>
      <c r="N30" s="87"/>
      <c r="O30" s="87"/>
      <c r="P30" s="88"/>
    </row>
    <row r="31" spans="1:17" s="94" customFormat="1" ht="79.2" x14ac:dyDescent="0.2">
      <c r="A31" s="84">
        <v>1</v>
      </c>
      <c r="B31" s="95" t="s">
        <v>56</v>
      </c>
      <c r="C31" s="81" t="s">
        <v>198</v>
      </c>
      <c r="D31" s="92" t="s">
        <v>62</v>
      </c>
      <c r="E31" s="82">
        <v>4</v>
      </c>
      <c r="F31" s="86"/>
      <c r="G31" s="181"/>
      <c r="H31" s="182">
        <f t="shared" ref="H31:H37" si="13">ROUND(F31*G31,2)</f>
        <v>0</v>
      </c>
      <c r="I31" s="181"/>
      <c r="J31" s="181"/>
      <c r="K31" s="181">
        <f t="shared" ref="K31:K38" si="14">ROUND(H31+J31+I31,2)</f>
        <v>0</v>
      </c>
      <c r="L31" s="105">
        <f t="shared" si="7"/>
        <v>0</v>
      </c>
      <c r="M31" s="87">
        <f t="shared" si="8"/>
        <v>0</v>
      </c>
      <c r="N31" s="87">
        <f t="shared" si="9"/>
        <v>0</v>
      </c>
      <c r="O31" s="87">
        <f t="shared" si="10"/>
        <v>0</v>
      </c>
      <c r="P31" s="88">
        <f t="shared" si="11"/>
        <v>0</v>
      </c>
    </row>
    <row r="32" spans="1:17" s="94" customFormat="1" ht="79.2" x14ac:dyDescent="0.2">
      <c r="A32" s="84">
        <v>2</v>
      </c>
      <c r="B32" s="95" t="s">
        <v>56</v>
      </c>
      <c r="C32" s="81" t="s">
        <v>199</v>
      </c>
      <c r="D32" s="92" t="s">
        <v>62</v>
      </c>
      <c r="E32" s="82">
        <v>1</v>
      </c>
      <c r="F32" s="86"/>
      <c r="G32" s="181"/>
      <c r="H32" s="182">
        <f t="shared" si="13"/>
        <v>0</v>
      </c>
      <c r="I32" s="181"/>
      <c r="J32" s="181"/>
      <c r="K32" s="181">
        <f t="shared" si="14"/>
        <v>0</v>
      </c>
      <c r="L32" s="105">
        <f t="shared" si="7"/>
        <v>0</v>
      </c>
      <c r="M32" s="87">
        <f t="shared" si="8"/>
        <v>0</v>
      </c>
      <c r="N32" s="87">
        <f t="shared" si="9"/>
        <v>0</v>
      </c>
      <c r="O32" s="87">
        <f t="shared" si="10"/>
        <v>0</v>
      </c>
      <c r="P32" s="88">
        <f t="shared" si="11"/>
        <v>0</v>
      </c>
    </row>
    <row r="33" spans="1:16" s="94" customFormat="1" ht="13.2" x14ac:dyDescent="0.2">
      <c r="A33" s="84">
        <v>5</v>
      </c>
      <c r="B33" s="95" t="s">
        <v>56</v>
      </c>
      <c r="C33" s="81" t="s">
        <v>200</v>
      </c>
      <c r="D33" s="92" t="s">
        <v>58</v>
      </c>
      <c r="E33" s="82">
        <f>(1.1*2+2.2*2)*4+(1.5*2+2.2*2)</f>
        <v>33.800000000000004</v>
      </c>
      <c r="F33" s="86"/>
      <c r="G33" s="181"/>
      <c r="H33" s="182">
        <f t="shared" si="13"/>
        <v>0</v>
      </c>
      <c r="I33" s="181"/>
      <c r="J33" s="181"/>
      <c r="K33" s="181">
        <f t="shared" si="14"/>
        <v>0</v>
      </c>
      <c r="L33" s="105">
        <f t="shared" si="7"/>
        <v>0</v>
      </c>
      <c r="M33" s="87">
        <f t="shared" si="8"/>
        <v>0</v>
      </c>
      <c r="N33" s="87">
        <f t="shared" si="9"/>
        <v>0</v>
      </c>
      <c r="O33" s="87">
        <f t="shared" si="10"/>
        <v>0</v>
      </c>
      <c r="P33" s="88">
        <f t="shared" si="11"/>
        <v>0</v>
      </c>
    </row>
    <row r="34" spans="1:16" s="94" customFormat="1" ht="26.4" x14ac:dyDescent="0.2">
      <c r="A34" s="84">
        <v>6</v>
      </c>
      <c r="B34" s="95" t="s">
        <v>56</v>
      </c>
      <c r="C34" s="79" t="s">
        <v>201</v>
      </c>
      <c r="D34" s="80" t="s">
        <v>58</v>
      </c>
      <c r="E34" s="83">
        <v>10.4</v>
      </c>
      <c r="F34" s="86"/>
      <c r="G34" s="181"/>
      <c r="H34" s="182">
        <f t="shared" si="13"/>
        <v>0</v>
      </c>
      <c r="I34" s="181"/>
      <c r="J34" s="181"/>
      <c r="K34" s="181">
        <f t="shared" si="14"/>
        <v>0</v>
      </c>
      <c r="L34" s="105">
        <f t="shared" si="7"/>
        <v>0</v>
      </c>
      <c r="M34" s="87">
        <f t="shared" si="8"/>
        <v>0</v>
      </c>
      <c r="N34" s="87">
        <f t="shared" si="9"/>
        <v>0</v>
      </c>
      <c r="O34" s="87">
        <f t="shared" si="10"/>
        <v>0</v>
      </c>
      <c r="P34" s="88">
        <f t="shared" si="11"/>
        <v>0</v>
      </c>
    </row>
    <row r="35" spans="1:16" s="94" customFormat="1" ht="26.4" x14ac:dyDescent="0.2">
      <c r="A35" s="84">
        <v>7</v>
      </c>
      <c r="B35" s="95" t="s">
        <v>56</v>
      </c>
      <c r="C35" s="79" t="s">
        <v>202</v>
      </c>
      <c r="D35" s="80" t="s">
        <v>203</v>
      </c>
      <c r="E35" s="83">
        <v>4</v>
      </c>
      <c r="F35" s="86"/>
      <c r="G35" s="181"/>
      <c r="H35" s="182">
        <f t="shared" si="13"/>
        <v>0</v>
      </c>
      <c r="I35" s="181"/>
      <c r="J35" s="181"/>
      <c r="K35" s="181">
        <f t="shared" si="14"/>
        <v>0</v>
      </c>
      <c r="L35" s="105">
        <f t="shared" si="7"/>
        <v>0</v>
      </c>
      <c r="M35" s="87">
        <f t="shared" si="8"/>
        <v>0</v>
      </c>
      <c r="N35" s="87">
        <f t="shared" si="9"/>
        <v>0</v>
      </c>
      <c r="O35" s="87">
        <f t="shared" si="10"/>
        <v>0</v>
      </c>
      <c r="P35" s="88">
        <f t="shared" si="11"/>
        <v>0</v>
      </c>
    </row>
    <row r="36" spans="1:16" s="94" customFormat="1" ht="26.4" x14ac:dyDescent="0.2">
      <c r="A36" s="84">
        <v>8</v>
      </c>
      <c r="B36" s="95" t="s">
        <v>56</v>
      </c>
      <c r="C36" s="81" t="s">
        <v>204</v>
      </c>
      <c r="D36" s="92" t="s">
        <v>70</v>
      </c>
      <c r="E36" s="82">
        <v>2.5</v>
      </c>
      <c r="F36" s="86"/>
      <c r="G36" s="181"/>
      <c r="H36" s="182">
        <f t="shared" si="13"/>
        <v>0</v>
      </c>
      <c r="I36" s="181"/>
      <c r="J36" s="181"/>
      <c r="K36" s="181">
        <f t="shared" si="14"/>
        <v>0</v>
      </c>
      <c r="L36" s="105">
        <f t="shared" si="7"/>
        <v>0</v>
      </c>
      <c r="M36" s="87">
        <f t="shared" si="8"/>
        <v>0</v>
      </c>
      <c r="N36" s="87">
        <f t="shared" si="9"/>
        <v>0</v>
      </c>
      <c r="O36" s="87">
        <f t="shared" si="10"/>
        <v>0</v>
      </c>
      <c r="P36" s="88">
        <f t="shared" si="11"/>
        <v>0</v>
      </c>
    </row>
    <row r="37" spans="1:16" s="94" customFormat="1" ht="13.2" x14ac:dyDescent="0.2">
      <c r="A37" s="84">
        <v>9</v>
      </c>
      <c r="B37" s="95" t="s">
        <v>56</v>
      </c>
      <c r="C37" s="81" t="s">
        <v>205</v>
      </c>
      <c r="D37" s="92" t="s">
        <v>58</v>
      </c>
      <c r="E37" s="82">
        <v>2.5</v>
      </c>
      <c r="F37" s="86"/>
      <c r="G37" s="181"/>
      <c r="H37" s="182">
        <f t="shared" si="13"/>
        <v>0</v>
      </c>
      <c r="I37" s="181"/>
      <c r="J37" s="181"/>
      <c r="K37" s="181">
        <f t="shared" si="14"/>
        <v>0</v>
      </c>
      <c r="L37" s="105">
        <f t="shared" si="7"/>
        <v>0</v>
      </c>
      <c r="M37" s="87">
        <f t="shared" si="8"/>
        <v>0</v>
      </c>
      <c r="N37" s="87">
        <f t="shared" si="9"/>
        <v>0</v>
      </c>
      <c r="O37" s="87">
        <f t="shared" si="10"/>
        <v>0</v>
      </c>
      <c r="P37" s="88">
        <f t="shared" si="11"/>
        <v>0</v>
      </c>
    </row>
    <row r="38" spans="1:16" s="94" customFormat="1" ht="13.2" x14ac:dyDescent="0.2">
      <c r="A38" s="84">
        <v>10</v>
      </c>
      <c r="B38" s="91" t="s">
        <v>56</v>
      </c>
      <c r="C38" s="81" t="s">
        <v>196</v>
      </c>
      <c r="D38" s="92" t="s">
        <v>60</v>
      </c>
      <c r="E38" s="82">
        <f>SUM(E31:E32)</f>
        <v>5</v>
      </c>
      <c r="F38" s="86"/>
      <c r="G38" s="181"/>
      <c r="H38" s="182">
        <f>ROUND(F38*G38,2)</f>
        <v>0</v>
      </c>
      <c r="I38" s="181"/>
      <c r="J38" s="181"/>
      <c r="K38" s="181">
        <f t="shared" si="14"/>
        <v>0</v>
      </c>
      <c r="L38" s="105">
        <f t="shared" si="7"/>
        <v>0</v>
      </c>
      <c r="M38" s="87">
        <f t="shared" si="8"/>
        <v>0</v>
      </c>
      <c r="N38" s="87">
        <f t="shared" si="9"/>
        <v>0</v>
      </c>
      <c r="O38" s="87">
        <f t="shared" si="10"/>
        <v>0</v>
      </c>
      <c r="P38" s="88">
        <f t="shared" si="11"/>
        <v>0</v>
      </c>
    </row>
    <row r="39" spans="1:16" s="94" customFormat="1" ht="26.4" x14ac:dyDescent="0.2">
      <c r="A39" s="177"/>
      <c r="B39" s="80"/>
      <c r="C39" s="178" t="s">
        <v>206</v>
      </c>
      <c r="D39" s="179"/>
      <c r="E39" s="180"/>
      <c r="F39" s="86"/>
      <c r="G39" s="181"/>
      <c r="H39" s="182"/>
      <c r="I39" s="181"/>
      <c r="J39" s="181"/>
      <c r="K39" s="181"/>
      <c r="L39" s="105"/>
      <c r="M39" s="87"/>
      <c r="N39" s="87"/>
      <c r="O39" s="87"/>
      <c r="P39" s="88"/>
    </row>
    <row r="40" spans="1:16" s="94" customFormat="1" ht="66" x14ac:dyDescent="0.2">
      <c r="A40" s="84">
        <v>1</v>
      </c>
      <c r="B40" s="95" t="s">
        <v>56</v>
      </c>
      <c r="C40" s="81" t="s">
        <v>207</v>
      </c>
      <c r="D40" s="92" t="s">
        <v>62</v>
      </c>
      <c r="E40" s="82">
        <v>4</v>
      </c>
      <c r="F40" s="86"/>
      <c r="G40" s="181"/>
      <c r="H40" s="182">
        <f>ROUND(F40*G40,2)</f>
        <v>0</v>
      </c>
      <c r="I40" s="181"/>
      <c r="J40" s="181"/>
      <c r="K40" s="181">
        <f>ROUND(H40+J40+I40,2)</f>
        <v>0</v>
      </c>
      <c r="L40" s="105">
        <f t="shared" si="7"/>
        <v>0</v>
      </c>
      <c r="M40" s="87">
        <f t="shared" si="8"/>
        <v>0</v>
      </c>
      <c r="N40" s="87">
        <f t="shared" si="9"/>
        <v>0</v>
      </c>
      <c r="O40" s="87">
        <f t="shared" si="10"/>
        <v>0</v>
      </c>
      <c r="P40" s="88">
        <f t="shared" si="11"/>
        <v>0</v>
      </c>
    </row>
    <row r="41" spans="1:16" s="94" customFormat="1" ht="52.8" x14ac:dyDescent="0.2">
      <c r="A41" s="84">
        <v>2</v>
      </c>
      <c r="B41" s="95" t="s">
        <v>56</v>
      </c>
      <c r="C41" s="81" t="s">
        <v>208</v>
      </c>
      <c r="D41" s="92" t="s">
        <v>62</v>
      </c>
      <c r="E41" s="82">
        <v>5</v>
      </c>
      <c r="F41" s="86"/>
      <c r="G41" s="181"/>
      <c r="H41" s="182">
        <f>ROUND(F41*G41,2)</f>
        <v>0</v>
      </c>
      <c r="I41" s="181"/>
      <c r="J41" s="181"/>
      <c r="K41" s="181">
        <f>ROUND(H41+J41+I41,2)</f>
        <v>0</v>
      </c>
      <c r="L41" s="105">
        <f t="shared" si="7"/>
        <v>0</v>
      </c>
      <c r="M41" s="87">
        <f t="shared" si="8"/>
        <v>0</v>
      </c>
      <c r="N41" s="87">
        <f t="shared" si="9"/>
        <v>0</v>
      </c>
      <c r="O41" s="87">
        <f t="shared" si="10"/>
        <v>0</v>
      </c>
      <c r="P41" s="88">
        <f t="shared" si="11"/>
        <v>0</v>
      </c>
    </row>
    <row r="42" spans="1:16" s="94" customFormat="1" ht="13.2" x14ac:dyDescent="0.2">
      <c r="A42" s="84">
        <v>3</v>
      </c>
      <c r="B42" s="95" t="s">
        <v>56</v>
      </c>
      <c r="C42" s="81" t="s">
        <v>200</v>
      </c>
      <c r="D42" s="92" t="s">
        <v>58</v>
      </c>
      <c r="E42" s="82">
        <f>E40*5+E41*4.9</f>
        <v>44.5</v>
      </c>
      <c r="F42" s="86"/>
      <c r="G42" s="181"/>
      <c r="H42" s="182">
        <f t="shared" ref="H42" si="15">ROUND(F42*G42,2)</f>
        <v>0</v>
      </c>
      <c r="I42" s="181"/>
      <c r="J42" s="181"/>
      <c r="K42" s="181">
        <f t="shared" ref="K42:K43" si="16">ROUND(H42+J42+I42,2)</f>
        <v>0</v>
      </c>
      <c r="L42" s="105">
        <f t="shared" si="7"/>
        <v>0</v>
      </c>
      <c r="M42" s="87">
        <f t="shared" si="8"/>
        <v>0</v>
      </c>
      <c r="N42" s="87">
        <f t="shared" si="9"/>
        <v>0</v>
      </c>
      <c r="O42" s="87">
        <f t="shared" si="10"/>
        <v>0</v>
      </c>
      <c r="P42" s="88">
        <f t="shared" si="11"/>
        <v>0</v>
      </c>
    </row>
    <row r="43" spans="1:16" s="94" customFormat="1" ht="13.8" thickBot="1" x14ac:dyDescent="0.25">
      <c r="A43" s="84">
        <v>4</v>
      </c>
      <c r="B43" s="91" t="s">
        <v>56</v>
      </c>
      <c r="C43" s="81" t="s">
        <v>196</v>
      </c>
      <c r="D43" s="92" t="s">
        <v>60</v>
      </c>
      <c r="E43" s="82">
        <f>E41+E40</f>
        <v>9</v>
      </c>
      <c r="F43" s="86"/>
      <c r="G43" s="181"/>
      <c r="H43" s="182">
        <f>ROUND(F43*G43,2)</f>
        <v>0</v>
      </c>
      <c r="I43" s="181"/>
      <c r="J43" s="181"/>
      <c r="K43" s="181">
        <f t="shared" si="16"/>
        <v>0</v>
      </c>
      <c r="L43" s="105">
        <f t="shared" si="7"/>
        <v>0</v>
      </c>
      <c r="M43" s="87">
        <f t="shared" si="8"/>
        <v>0</v>
      </c>
      <c r="N43" s="87">
        <f t="shared" si="9"/>
        <v>0</v>
      </c>
      <c r="O43" s="87">
        <f t="shared" si="10"/>
        <v>0</v>
      </c>
      <c r="P43" s="88">
        <f t="shared" si="11"/>
        <v>0</v>
      </c>
    </row>
    <row r="44" spans="1:16" ht="12" customHeight="1" thickBot="1" x14ac:dyDescent="0.25">
      <c r="A44" s="285"/>
      <c r="B44" s="286"/>
      <c r="C44" s="286"/>
      <c r="D44" s="286"/>
      <c r="E44" s="286"/>
      <c r="F44" s="286"/>
      <c r="G44" s="286"/>
      <c r="H44" s="286"/>
      <c r="I44" s="286"/>
      <c r="J44" s="286"/>
      <c r="K44" s="287"/>
      <c r="L44" s="52">
        <f>SUM(L14:L43)</f>
        <v>0</v>
      </c>
      <c r="M44" s="53">
        <f>SUM(M14:M43)</f>
        <v>0</v>
      </c>
      <c r="N44" s="53">
        <f>SUM(N14:N43)</f>
        <v>0</v>
      </c>
      <c r="O44" s="53">
        <f>SUM(O14:O43)</f>
        <v>0</v>
      </c>
      <c r="P44" s="54">
        <f>SUM(P14:P43)</f>
        <v>0</v>
      </c>
    </row>
    <row r="45" spans="1:16" x14ac:dyDescent="0.2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</row>
    <row r="46" spans="1:16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</row>
    <row r="47" spans="1:16" x14ac:dyDescent="0.2">
      <c r="A47" s="1" t="s">
        <v>18</v>
      </c>
      <c r="B47" s="14"/>
      <c r="C47" s="281">
        <f>'Kops a'!C35:H35</f>
        <v>0</v>
      </c>
      <c r="D47" s="281"/>
      <c r="E47" s="281"/>
      <c r="F47" s="281"/>
      <c r="G47" s="281"/>
      <c r="H47" s="281"/>
      <c r="I47" s="14"/>
      <c r="J47" s="14"/>
      <c r="K47" s="14"/>
      <c r="L47" s="14"/>
      <c r="M47" s="14"/>
      <c r="N47" s="14"/>
      <c r="O47" s="14"/>
      <c r="P47" s="14"/>
    </row>
    <row r="48" spans="1:16" x14ac:dyDescent="0.2">
      <c r="A48" s="14"/>
      <c r="B48" s="14"/>
      <c r="C48" s="216" t="s">
        <v>19</v>
      </c>
      <c r="D48" s="216"/>
      <c r="E48" s="216"/>
      <c r="F48" s="216"/>
      <c r="G48" s="216"/>
      <c r="H48" s="216"/>
      <c r="I48" s="14"/>
      <c r="J48" s="14"/>
      <c r="K48" s="14"/>
      <c r="L48" s="14"/>
      <c r="M48" s="14"/>
      <c r="N48" s="14"/>
      <c r="O48" s="14"/>
      <c r="P48" s="14"/>
    </row>
    <row r="49" spans="1:16" x14ac:dyDescent="0.2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</row>
    <row r="50" spans="1:16" x14ac:dyDescent="0.2">
      <c r="A50" s="70" t="str">
        <f>'Kops a'!A38</f>
        <v>Tāme sastādīta</v>
      </c>
      <c r="B50" s="71"/>
      <c r="C50" s="71"/>
      <c r="D50" s="71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</row>
    <row r="51" spans="1:16" x14ac:dyDescent="0.2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</row>
    <row r="52" spans="1:16" x14ac:dyDescent="0.2">
      <c r="A52" s="1" t="s">
        <v>38</v>
      </c>
      <c r="B52" s="14"/>
      <c r="C52" s="281">
        <f>'Kops a'!C40:H40</f>
        <v>0</v>
      </c>
      <c r="D52" s="281"/>
      <c r="E52" s="281"/>
      <c r="F52" s="281"/>
      <c r="G52" s="281"/>
      <c r="H52" s="281"/>
      <c r="I52" s="14"/>
      <c r="J52" s="14"/>
      <c r="K52" s="14"/>
      <c r="L52" s="14"/>
      <c r="M52" s="14"/>
      <c r="N52" s="14"/>
      <c r="O52" s="14"/>
      <c r="P52" s="14"/>
    </row>
    <row r="53" spans="1:16" x14ac:dyDescent="0.2">
      <c r="A53" s="14"/>
      <c r="B53" s="14"/>
      <c r="C53" s="216" t="s">
        <v>19</v>
      </c>
      <c r="D53" s="216"/>
      <c r="E53" s="216"/>
      <c r="F53" s="216"/>
      <c r="G53" s="216"/>
      <c r="H53" s="216"/>
      <c r="I53" s="14"/>
      <c r="J53" s="14"/>
      <c r="K53" s="14"/>
      <c r="L53" s="14"/>
      <c r="M53" s="14"/>
      <c r="N53" s="14"/>
      <c r="O53" s="14"/>
      <c r="P53" s="14"/>
    </row>
    <row r="54" spans="1:16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</row>
    <row r="55" spans="1:16" x14ac:dyDescent="0.2">
      <c r="A55" s="70" t="s">
        <v>84</v>
      </c>
      <c r="B55" s="71"/>
      <c r="C55" s="75">
        <f>'Kops a'!C43</f>
        <v>0</v>
      </c>
      <c r="D55" s="39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</row>
    <row r="56" spans="1:16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</row>
  </sheetData>
  <mergeCells count="22">
    <mergeCell ref="C53:H53"/>
    <mergeCell ref="C4:I4"/>
    <mergeCell ref="F12:K12"/>
    <mergeCell ref="A9:F9"/>
    <mergeCell ref="J9:M9"/>
    <mergeCell ref="D8:L8"/>
    <mergeCell ref="A44:K44"/>
    <mergeCell ref="C47:H47"/>
    <mergeCell ref="C48:H48"/>
    <mergeCell ref="C52:H52"/>
    <mergeCell ref="A12:A13"/>
    <mergeCell ref="B12:B13"/>
    <mergeCell ref="C12:C13"/>
    <mergeCell ref="D12:D13"/>
    <mergeCell ref="E12:E13"/>
    <mergeCell ref="L12:P12"/>
    <mergeCell ref="N9:O9"/>
    <mergeCell ref="C2:I2"/>
    <mergeCell ref="C3:I3"/>
    <mergeCell ref="D5:L5"/>
    <mergeCell ref="D6:L6"/>
    <mergeCell ref="D7:L7"/>
  </mergeCells>
  <conditionalFormatting sqref="A15:G43 I15:J43">
    <cfRule type="cellIs" dxfId="332" priority="26" operator="equal">
      <formula>0</formula>
    </cfRule>
  </conditionalFormatting>
  <conditionalFormatting sqref="N9:O9 H14:H43 K14:P43">
    <cfRule type="cellIs" dxfId="331" priority="25" operator="equal">
      <formula>0</formula>
    </cfRule>
  </conditionalFormatting>
  <conditionalFormatting sqref="A9:F9">
    <cfRule type="containsText" dxfId="330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329" priority="22" operator="equal">
      <formula>0</formula>
    </cfRule>
  </conditionalFormatting>
  <conditionalFormatting sqref="O10">
    <cfRule type="cellIs" dxfId="328" priority="21" operator="equal">
      <formula>"20__. gada __. _________"</formula>
    </cfRule>
  </conditionalFormatting>
  <conditionalFormatting sqref="A44:K44">
    <cfRule type="containsText" dxfId="327" priority="20" operator="containsText" text="Tiešās izmaksas kopā, t. sk. darba devēja sociālais nodoklis __.__% ">
      <formula>NOT(ISERROR(SEARCH("Tiešās izmaksas kopā, t. sk. darba devēja sociālais nodoklis __.__% ",A44)))</formula>
    </cfRule>
  </conditionalFormatting>
  <conditionalFormatting sqref="L44:P44">
    <cfRule type="cellIs" dxfId="326" priority="15" operator="equal">
      <formula>0</formula>
    </cfRule>
  </conditionalFormatting>
  <conditionalFormatting sqref="C4:I4">
    <cfRule type="cellIs" dxfId="325" priority="14" operator="equal">
      <formula>0</formula>
    </cfRule>
  </conditionalFormatting>
  <conditionalFormatting sqref="D5:L8">
    <cfRule type="cellIs" dxfId="324" priority="11" operator="equal">
      <formula>0</formula>
    </cfRule>
  </conditionalFormatting>
  <conditionalFormatting sqref="A14:B14 D14:G14">
    <cfRule type="cellIs" dxfId="323" priority="10" operator="equal">
      <formula>0</formula>
    </cfRule>
  </conditionalFormatting>
  <conditionalFormatting sqref="C14">
    <cfRule type="cellIs" dxfId="322" priority="9" operator="equal">
      <formula>0</formula>
    </cfRule>
  </conditionalFormatting>
  <conditionalFormatting sqref="I14:J14">
    <cfRule type="cellIs" dxfId="321" priority="8" operator="equal">
      <formula>0</formula>
    </cfRule>
  </conditionalFormatting>
  <conditionalFormatting sqref="P10">
    <cfRule type="cellIs" dxfId="320" priority="7" operator="equal">
      <formula>"20__. gada __. _________"</formula>
    </cfRule>
  </conditionalFormatting>
  <conditionalFormatting sqref="C52:H52">
    <cfRule type="cellIs" dxfId="319" priority="4" operator="equal">
      <formula>0</formula>
    </cfRule>
  </conditionalFormatting>
  <conditionalFormatting sqref="C47:H47">
    <cfRule type="cellIs" dxfId="318" priority="3" operator="equal">
      <formula>0</formula>
    </cfRule>
  </conditionalFormatting>
  <conditionalFormatting sqref="C52:H52 C55 C47:H47">
    <cfRule type="cellIs" dxfId="317" priority="2" operator="equal">
      <formula>0</formula>
    </cfRule>
  </conditionalFormatting>
  <conditionalFormatting sqref="D1">
    <cfRule type="cellIs" dxfId="316" priority="1" operator="equal">
      <formula>0</formula>
    </cfRule>
  </conditionalFormatting>
  <pageMargins left="0.7" right="0.7" top="0.75" bottom="0.75" header="0.3" footer="0.3"/>
  <pageSetup paperSize="9" scale="9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0B610FE1-6F17-46AF-982B-27B20E80701D}">
            <xm:f>NOT(ISERROR(SEARCH("Tāme sastādīta ____. gada ___. ______________",A50)))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A50</xm:sqref>
        </x14:conditionalFormatting>
        <x14:conditionalFormatting xmlns:xm="http://schemas.microsoft.com/office/excel/2006/main">
          <x14:cfRule type="containsText" priority="5" operator="containsText" id="{F3EAEDA8-031E-4BF8-B71A-4A6D64C3BFEB}">
            <xm:f>NOT(ISERROR(SEARCH("Sertifikāta Nr. _________________________________",A55)))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A55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W272"/>
  <sheetViews>
    <sheetView zoomScaleNormal="100" zoomScaleSheetLayoutView="100" workbookViewId="0">
      <selection activeCell="D5" sqref="D5:L5"/>
    </sheetView>
  </sheetViews>
  <sheetFormatPr defaultColWidth="9.109375" defaultRowHeight="10.199999999999999" x14ac:dyDescent="0.2"/>
  <cols>
    <col min="1" max="1" width="4.5546875" style="1" customWidth="1"/>
    <col min="2" max="2" width="9.44140625" style="1" bestFit="1" customWidth="1"/>
    <col min="3" max="3" width="38.44140625" style="1" customWidth="1"/>
    <col min="4" max="4" width="5.88671875" style="1" customWidth="1"/>
    <col min="5" max="5" width="8.6640625" style="1" customWidth="1"/>
    <col min="6" max="6" width="4.44140625" style="1" bestFit="1" customWidth="1"/>
    <col min="7" max="10" width="5.44140625" style="1" bestFit="1" customWidth="1"/>
    <col min="11" max="11" width="6.33203125" style="1" bestFit="1" customWidth="1"/>
    <col min="12" max="12" width="6.5546875" style="1" bestFit="1" customWidth="1"/>
    <col min="13" max="13" width="7.6640625" style="1" customWidth="1"/>
    <col min="14" max="14" width="8.6640625" style="1" bestFit="1" customWidth="1"/>
    <col min="15" max="15" width="6.5546875" style="1" bestFit="1" customWidth="1"/>
    <col min="16" max="16" width="9" style="1" customWidth="1"/>
    <col min="17" max="16384" width="9.109375" style="1"/>
  </cols>
  <sheetData>
    <row r="1" spans="1:16" x14ac:dyDescent="0.2">
      <c r="A1" s="19"/>
      <c r="B1" s="19"/>
      <c r="C1" s="23" t="s">
        <v>39</v>
      </c>
      <c r="D1" s="40">
        <f>'Kops a'!A19</f>
        <v>0</v>
      </c>
      <c r="E1" s="19"/>
      <c r="F1" s="19"/>
      <c r="G1" s="19"/>
      <c r="H1" s="19"/>
      <c r="I1" s="19"/>
      <c r="J1" s="19"/>
      <c r="N1" s="22"/>
      <c r="O1" s="23"/>
      <c r="P1" s="24"/>
    </row>
    <row r="2" spans="1:16" x14ac:dyDescent="0.2">
      <c r="A2" s="25"/>
      <c r="B2" s="25"/>
      <c r="C2" s="264" t="s">
        <v>209</v>
      </c>
      <c r="D2" s="264"/>
      <c r="E2" s="264"/>
      <c r="F2" s="264"/>
      <c r="G2" s="264"/>
      <c r="H2" s="264"/>
      <c r="I2" s="264"/>
      <c r="J2" s="25"/>
    </row>
    <row r="3" spans="1:16" x14ac:dyDescent="0.2">
      <c r="A3" s="26"/>
      <c r="B3" s="26"/>
      <c r="C3" s="225" t="s">
        <v>23</v>
      </c>
      <c r="D3" s="225"/>
      <c r="E3" s="225"/>
      <c r="F3" s="225"/>
      <c r="G3" s="225"/>
      <c r="H3" s="225"/>
      <c r="I3" s="225"/>
      <c r="J3" s="26"/>
    </row>
    <row r="4" spans="1:16" x14ac:dyDescent="0.2">
      <c r="A4" s="26"/>
      <c r="B4" s="26"/>
      <c r="C4" s="265" t="s">
        <v>5</v>
      </c>
      <c r="D4" s="265"/>
      <c r="E4" s="265"/>
      <c r="F4" s="265"/>
      <c r="G4" s="265"/>
      <c r="H4" s="265"/>
      <c r="I4" s="265"/>
      <c r="J4" s="26"/>
    </row>
    <row r="5" spans="1:16" x14ac:dyDescent="0.2">
      <c r="A5" s="19"/>
      <c r="B5" s="19"/>
      <c r="C5" s="23" t="s">
        <v>6</v>
      </c>
      <c r="D5" s="278" t="str">
        <f>'Kops a'!D6</f>
        <v>DAUDZDZĪVOKĻU DZĪVOJAMĀ ĒKA</v>
      </c>
      <c r="E5" s="278"/>
      <c r="F5" s="278"/>
      <c r="G5" s="278"/>
      <c r="H5" s="278"/>
      <c r="I5" s="278"/>
      <c r="J5" s="278"/>
      <c r="K5" s="278"/>
      <c r="L5" s="278"/>
      <c r="M5" s="14"/>
      <c r="N5" s="14"/>
      <c r="O5" s="14"/>
      <c r="P5" s="14"/>
    </row>
    <row r="6" spans="1:16" x14ac:dyDescent="0.2">
      <c r="A6" s="19"/>
      <c r="B6" s="19"/>
      <c r="C6" s="23" t="s">
        <v>8</v>
      </c>
      <c r="D6" s="278" t="str">
        <f>'Kops a'!D7</f>
        <v>ENERGOEFEKTIVITĀTES PAAUGSTINĀŠANA DAUDZDZĪVOKĻU DZĪVOJAMAI ĒKAI</v>
      </c>
      <c r="E6" s="278"/>
      <c r="F6" s="278"/>
      <c r="G6" s="278"/>
      <c r="H6" s="278"/>
      <c r="I6" s="278"/>
      <c r="J6" s="278"/>
      <c r="K6" s="278"/>
      <c r="L6" s="278"/>
      <c r="M6" s="14"/>
      <c r="N6" s="14"/>
      <c r="O6" s="14"/>
      <c r="P6" s="14"/>
    </row>
    <row r="7" spans="1:16" x14ac:dyDescent="0.2">
      <c r="A7" s="19"/>
      <c r="B7" s="19"/>
      <c r="C7" s="23" t="s">
        <v>10</v>
      </c>
      <c r="D7" s="278" t="str">
        <f>'Kops a'!D8</f>
        <v>Mātera iela 23/25, Jelgava, ēkas kad. apz. 0900 001 0126 001</v>
      </c>
      <c r="E7" s="278"/>
      <c r="F7" s="278"/>
      <c r="G7" s="278"/>
      <c r="H7" s="278"/>
      <c r="I7" s="278"/>
      <c r="J7" s="278"/>
      <c r="K7" s="278"/>
      <c r="L7" s="278"/>
      <c r="M7" s="14"/>
      <c r="N7" s="14"/>
      <c r="O7" s="14"/>
      <c r="P7" s="14"/>
    </row>
    <row r="8" spans="1:16" x14ac:dyDescent="0.2">
      <c r="A8" s="19"/>
      <c r="B8" s="19"/>
      <c r="C8" s="210" t="s">
        <v>26</v>
      </c>
      <c r="D8" s="278">
        <f>'Kops a'!D9</f>
        <v>0</v>
      </c>
      <c r="E8" s="278"/>
      <c r="F8" s="278"/>
      <c r="G8" s="278"/>
      <c r="H8" s="278"/>
      <c r="I8" s="278"/>
      <c r="J8" s="278"/>
      <c r="K8" s="278"/>
      <c r="L8" s="278"/>
      <c r="M8" s="14"/>
      <c r="N8" s="14"/>
      <c r="O8" s="14"/>
      <c r="P8" s="14"/>
    </row>
    <row r="9" spans="1:16" ht="11.25" customHeight="1" x14ac:dyDescent="0.2">
      <c r="A9" s="266" t="s">
        <v>86</v>
      </c>
      <c r="B9" s="266"/>
      <c r="C9" s="266"/>
      <c r="D9" s="266"/>
      <c r="E9" s="266"/>
      <c r="F9" s="266"/>
      <c r="G9" s="27"/>
      <c r="H9" s="27"/>
      <c r="I9" s="27"/>
      <c r="J9" s="270" t="s">
        <v>42</v>
      </c>
      <c r="K9" s="270"/>
      <c r="L9" s="270"/>
      <c r="M9" s="270"/>
      <c r="N9" s="277">
        <f>P260</f>
        <v>0</v>
      </c>
      <c r="O9" s="277"/>
      <c r="P9" s="27"/>
    </row>
    <row r="10" spans="1:16" x14ac:dyDescent="0.2">
      <c r="A10" s="28"/>
      <c r="B10" s="29"/>
      <c r="C10" s="210"/>
      <c r="D10" s="19"/>
      <c r="E10" s="19"/>
      <c r="F10" s="19"/>
      <c r="G10" s="19"/>
      <c r="H10" s="19"/>
      <c r="I10" s="19"/>
      <c r="J10" s="19"/>
      <c r="K10" s="19"/>
      <c r="L10" s="25"/>
      <c r="M10" s="25"/>
      <c r="O10" s="73"/>
      <c r="P10" s="72" t="str">
        <f>A266</f>
        <v>Tāme sastādīta</v>
      </c>
    </row>
    <row r="11" spans="1:16" ht="10.8" thickBot="1" x14ac:dyDescent="0.25">
      <c r="A11" s="28"/>
      <c r="B11" s="29"/>
      <c r="C11" s="210"/>
      <c r="D11" s="19"/>
      <c r="E11" s="19"/>
      <c r="F11" s="19"/>
      <c r="G11" s="19"/>
      <c r="H11" s="19"/>
      <c r="I11" s="19"/>
      <c r="J11" s="19"/>
      <c r="K11" s="19"/>
      <c r="L11" s="30"/>
      <c r="M11" s="30"/>
      <c r="N11" s="31"/>
      <c r="O11" s="22"/>
      <c r="P11" s="19"/>
    </row>
    <row r="12" spans="1:16" x14ac:dyDescent="0.2">
      <c r="A12" s="236" t="s">
        <v>29</v>
      </c>
      <c r="B12" s="272" t="s">
        <v>43</v>
      </c>
      <c r="C12" s="268" t="s">
        <v>44</v>
      </c>
      <c r="D12" s="275" t="s">
        <v>45</v>
      </c>
      <c r="E12" s="279" t="s">
        <v>46</v>
      </c>
      <c r="F12" s="267" t="s">
        <v>47</v>
      </c>
      <c r="G12" s="268"/>
      <c r="H12" s="268"/>
      <c r="I12" s="268"/>
      <c r="J12" s="268"/>
      <c r="K12" s="269"/>
      <c r="L12" s="267" t="s">
        <v>48</v>
      </c>
      <c r="M12" s="268"/>
      <c r="N12" s="268"/>
      <c r="O12" s="268"/>
      <c r="P12" s="269"/>
    </row>
    <row r="13" spans="1:16" ht="126.75" customHeight="1" thickBot="1" x14ac:dyDescent="0.25">
      <c r="A13" s="271"/>
      <c r="B13" s="273"/>
      <c r="C13" s="274"/>
      <c r="D13" s="276"/>
      <c r="E13" s="280"/>
      <c r="F13" s="214" t="s">
        <v>49</v>
      </c>
      <c r="G13" s="215" t="s">
        <v>50</v>
      </c>
      <c r="H13" s="215" t="s">
        <v>51</v>
      </c>
      <c r="I13" s="215" t="s">
        <v>52</v>
      </c>
      <c r="J13" s="215" t="s">
        <v>53</v>
      </c>
      <c r="K13" s="51" t="s">
        <v>54</v>
      </c>
      <c r="L13" s="214" t="s">
        <v>49</v>
      </c>
      <c r="M13" s="215" t="s">
        <v>51</v>
      </c>
      <c r="N13" s="215" t="s">
        <v>52</v>
      </c>
      <c r="O13" s="215" t="s">
        <v>53</v>
      </c>
      <c r="P13" s="51" t="s">
        <v>54</v>
      </c>
    </row>
    <row r="14" spans="1:16" ht="13.2" x14ac:dyDescent="0.2">
      <c r="A14" s="121"/>
      <c r="B14" s="122"/>
      <c r="C14" s="123" t="s">
        <v>210</v>
      </c>
      <c r="D14" s="124"/>
      <c r="E14" s="125"/>
      <c r="F14" s="126"/>
      <c r="G14" s="127"/>
      <c r="H14" s="127"/>
      <c r="I14" s="127"/>
      <c r="J14" s="127"/>
      <c r="K14" s="127"/>
      <c r="L14" s="107"/>
      <c r="M14" s="93"/>
      <c r="N14" s="93"/>
      <c r="O14" s="93"/>
      <c r="P14" s="96"/>
    </row>
    <row r="15" spans="1:16" ht="26.4" x14ac:dyDescent="0.2">
      <c r="A15" s="160">
        <v>1</v>
      </c>
      <c r="B15" s="157" t="s">
        <v>56</v>
      </c>
      <c r="C15" s="163" t="s">
        <v>211</v>
      </c>
      <c r="D15" s="157" t="s">
        <v>60</v>
      </c>
      <c r="E15" s="172">
        <v>1</v>
      </c>
      <c r="F15" s="133"/>
      <c r="G15" s="134"/>
      <c r="H15" s="135">
        <f>ROUND(F15*G15,2)</f>
        <v>0</v>
      </c>
      <c r="I15" s="134"/>
      <c r="J15" s="134"/>
      <c r="K15" s="134">
        <f>ROUND(H15+J15+I15,2)</f>
        <v>0</v>
      </c>
      <c r="L15" s="105">
        <f>ROUND(E15*F15,2)</f>
        <v>0</v>
      </c>
      <c r="M15" s="87">
        <f>ROUND(E15*H15,2)</f>
        <v>0</v>
      </c>
      <c r="N15" s="87">
        <f>ROUND(E15*I15,2)</f>
        <v>0</v>
      </c>
      <c r="O15" s="87">
        <f>ROUND(E15*J15,2)</f>
        <v>0</v>
      </c>
      <c r="P15" s="88">
        <f>ROUND(O15+N15+M15,2)</f>
        <v>0</v>
      </c>
    </row>
    <row r="16" spans="1:16" ht="13.2" x14ac:dyDescent="0.2">
      <c r="A16" s="165"/>
      <c r="B16" s="166"/>
      <c r="C16" s="167" t="s">
        <v>212</v>
      </c>
      <c r="D16" s="168"/>
      <c r="E16" s="169"/>
      <c r="F16" s="170"/>
      <c r="G16" s="171"/>
      <c r="H16" s="171"/>
      <c r="I16" s="171"/>
      <c r="J16" s="171"/>
      <c r="K16" s="171"/>
      <c r="L16" s="105"/>
      <c r="M16" s="87"/>
      <c r="N16" s="87"/>
      <c r="O16" s="87"/>
      <c r="P16" s="88"/>
    </row>
    <row r="17" spans="1:16" ht="26.4" x14ac:dyDescent="0.2">
      <c r="A17" s="160">
        <v>1</v>
      </c>
      <c r="B17" s="157" t="s">
        <v>56</v>
      </c>
      <c r="C17" s="163" t="s">
        <v>211</v>
      </c>
      <c r="D17" s="157" t="s">
        <v>60</v>
      </c>
      <c r="E17" s="172">
        <v>1</v>
      </c>
      <c r="F17" s="133"/>
      <c r="G17" s="134"/>
      <c r="H17" s="135">
        <f>ROUND(F17*G17,2)</f>
        <v>0</v>
      </c>
      <c r="I17" s="134"/>
      <c r="J17" s="134"/>
      <c r="K17" s="134">
        <f>ROUND(H17+J17+I17,2)</f>
        <v>0</v>
      </c>
      <c r="L17" s="105">
        <f t="shared" ref="L17:L79" si="0">ROUND(E17*F17,2)</f>
        <v>0</v>
      </c>
      <c r="M17" s="87">
        <f t="shared" ref="M17:M79" si="1">ROUND(E17*H17,2)</f>
        <v>0</v>
      </c>
      <c r="N17" s="87">
        <f t="shared" ref="N17:N79" si="2">ROUND(E17*I17,2)</f>
        <v>0</v>
      </c>
      <c r="O17" s="87">
        <f t="shared" ref="O17:O79" si="3">ROUND(E17*J17,2)</f>
        <v>0</v>
      </c>
      <c r="P17" s="88">
        <f t="shared" ref="P17:P79" si="4">ROUND(O17+N17+M17,2)</f>
        <v>0</v>
      </c>
    </row>
    <row r="18" spans="1:16" ht="13.2" x14ac:dyDescent="0.2">
      <c r="A18" s="165"/>
      <c r="B18" s="166"/>
      <c r="C18" s="167" t="s">
        <v>213</v>
      </c>
      <c r="D18" s="168"/>
      <c r="E18" s="169"/>
      <c r="F18" s="170"/>
      <c r="G18" s="171"/>
      <c r="H18" s="171"/>
      <c r="I18" s="171"/>
      <c r="J18" s="171"/>
      <c r="K18" s="171"/>
      <c r="L18" s="105"/>
      <c r="M18" s="87"/>
      <c r="N18" s="87"/>
      <c r="O18" s="87"/>
      <c r="P18" s="88"/>
    </row>
    <row r="19" spans="1:16" ht="26.4" x14ac:dyDescent="0.2">
      <c r="A19" s="160">
        <v>1</v>
      </c>
      <c r="B19" s="157" t="s">
        <v>56</v>
      </c>
      <c r="C19" s="163" t="s">
        <v>211</v>
      </c>
      <c r="D19" s="157" t="s">
        <v>60</v>
      </c>
      <c r="E19" s="172">
        <v>1</v>
      </c>
      <c r="F19" s="133"/>
      <c r="G19" s="134"/>
      <c r="H19" s="135">
        <f>ROUND(F19*G19,2)</f>
        <v>0</v>
      </c>
      <c r="I19" s="134"/>
      <c r="J19" s="134"/>
      <c r="K19" s="134">
        <f>ROUND(H19+J19+I19,2)</f>
        <v>0</v>
      </c>
      <c r="L19" s="105">
        <f t="shared" si="0"/>
        <v>0</v>
      </c>
      <c r="M19" s="87">
        <f t="shared" si="1"/>
        <v>0</v>
      </c>
      <c r="N19" s="87">
        <f t="shared" si="2"/>
        <v>0</v>
      </c>
      <c r="O19" s="87">
        <f t="shared" si="3"/>
        <v>0</v>
      </c>
      <c r="P19" s="88">
        <f t="shared" si="4"/>
        <v>0</v>
      </c>
    </row>
    <row r="20" spans="1:16" ht="13.2" x14ac:dyDescent="0.2">
      <c r="A20" s="160">
        <v>2</v>
      </c>
      <c r="B20" s="157" t="s">
        <v>56</v>
      </c>
      <c r="C20" s="163" t="s">
        <v>214</v>
      </c>
      <c r="D20" s="157" t="s">
        <v>62</v>
      </c>
      <c r="E20" s="172">
        <v>40</v>
      </c>
      <c r="F20" s="133"/>
      <c r="G20" s="134"/>
      <c r="H20" s="135">
        <f>ROUND(F20*G20,2)</f>
        <v>0</v>
      </c>
      <c r="I20" s="134"/>
      <c r="J20" s="134"/>
      <c r="K20" s="134">
        <f>ROUND(H20+J20+I20,2)</f>
        <v>0</v>
      </c>
      <c r="L20" s="105">
        <f t="shared" si="0"/>
        <v>0</v>
      </c>
      <c r="M20" s="87">
        <f t="shared" si="1"/>
        <v>0</v>
      </c>
      <c r="N20" s="87">
        <f t="shared" si="2"/>
        <v>0</v>
      </c>
      <c r="O20" s="87">
        <f t="shared" si="3"/>
        <v>0</v>
      </c>
      <c r="P20" s="88">
        <f t="shared" si="4"/>
        <v>0</v>
      </c>
    </row>
    <row r="21" spans="1:16" ht="26.4" x14ac:dyDescent="0.2">
      <c r="A21" s="160">
        <v>3</v>
      </c>
      <c r="B21" s="157" t="s">
        <v>56</v>
      </c>
      <c r="C21" s="163" t="s">
        <v>215</v>
      </c>
      <c r="D21" s="157" t="s">
        <v>62</v>
      </c>
      <c r="E21" s="172">
        <v>6</v>
      </c>
      <c r="F21" s="133"/>
      <c r="G21" s="134"/>
      <c r="H21" s="135">
        <f>ROUND(F21*G21,2)</f>
        <v>0</v>
      </c>
      <c r="I21" s="134"/>
      <c r="J21" s="134"/>
      <c r="K21" s="134">
        <f>ROUND(H21+J21+I21,2)</f>
        <v>0</v>
      </c>
      <c r="L21" s="105">
        <f t="shared" si="0"/>
        <v>0</v>
      </c>
      <c r="M21" s="87">
        <f t="shared" si="1"/>
        <v>0</v>
      </c>
      <c r="N21" s="87">
        <f t="shared" si="2"/>
        <v>0</v>
      </c>
      <c r="O21" s="87">
        <f t="shared" si="3"/>
        <v>0</v>
      </c>
      <c r="P21" s="88">
        <f t="shared" si="4"/>
        <v>0</v>
      </c>
    </row>
    <row r="22" spans="1:16" ht="13.2" x14ac:dyDescent="0.2">
      <c r="A22" s="165"/>
      <c r="B22" s="166"/>
      <c r="C22" s="167" t="s">
        <v>216</v>
      </c>
      <c r="D22" s="168"/>
      <c r="E22" s="169"/>
      <c r="F22" s="170"/>
      <c r="G22" s="171"/>
      <c r="H22" s="171"/>
      <c r="I22" s="171"/>
      <c r="J22" s="171"/>
      <c r="K22" s="171"/>
      <c r="L22" s="105"/>
      <c r="M22" s="87"/>
      <c r="N22" s="87"/>
      <c r="O22" s="87"/>
      <c r="P22" s="88"/>
    </row>
    <row r="23" spans="1:16" ht="26.4" x14ac:dyDescent="0.2">
      <c r="A23" s="160">
        <v>1</v>
      </c>
      <c r="B23" s="157" t="s">
        <v>56</v>
      </c>
      <c r="C23" s="163" t="s">
        <v>211</v>
      </c>
      <c r="D23" s="157" t="s">
        <v>60</v>
      </c>
      <c r="E23" s="172">
        <v>1</v>
      </c>
      <c r="F23" s="133"/>
      <c r="G23" s="134"/>
      <c r="H23" s="135">
        <f>ROUND(F23*G23,2)</f>
        <v>0</v>
      </c>
      <c r="I23" s="134"/>
      <c r="J23" s="134"/>
      <c r="K23" s="134">
        <f t="shared" ref="K23:K29" si="5">ROUND(H23+J23+I23,2)</f>
        <v>0</v>
      </c>
      <c r="L23" s="105">
        <f t="shared" si="0"/>
        <v>0</v>
      </c>
      <c r="M23" s="87">
        <f t="shared" si="1"/>
        <v>0</v>
      </c>
      <c r="N23" s="87">
        <f t="shared" si="2"/>
        <v>0</v>
      </c>
      <c r="O23" s="87">
        <f t="shared" si="3"/>
        <v>0</v>
      </c>
      <c r="P23" s="88">
        <f t="shared" si="4"/>
        <v>0</v>
      </c>
    </row>
    <row r="24" spans="1:16" ht="13.2" x14ac:dyDescent="0.2">
      <c r="A24" s="160">
        <v>2</v>
      </c>
      <c r="B24" s="157" t="s">
        <v>56</v>
      </c>
      <c r="C24" s="163" t="s">
        <v>214</v>
      </c>
      <c r="D24" s="157" t="s">
        <v>62</v>
      </c>
      <c r="E24" s="172">
        <v>49</v>
      </c>
      <c r="F24" s="133"/>
      <c r="G24" s="134"/>
      <c r="H24" s="135">
        <f>ROUND(F24*G24,2)</f>
        <v>0</v>
      </c>
      <c r="I24" s="134"/>
      <c r="J24" s="134"/>
      <c r="K24" s="134">
        <f t="shared" si="5"/>
        <v>0</v>
      </c>
      <c r="L24" s="105">
        <f t="shared" si="0"/>
        <v>0</v>
      </c>
      <c r="M24" s="87">
        <f t="shared" si="1"/>
        <v>0</v>
      </c>
      <c r="N24" s="87">
        <f t="shared" si="2"/>
        <v>0</v>
      </c>
      <c r="O24" s="87">
        <f t="shared" si="3"/>
        <v>0</v>
      </c>
      <c r="P24" s="88">
        <f t="shared" si="4"/>
        <v>0</v>
      </c>
    </row>
    <row r="25" spans="1:16" ht="26.4" x14ac:dyDescent="0.2">
      <c r="A25" s="160">
        <v>3</v>
      </c>
      <c r="B25" s="157" t="s">
        <v>56</v>
      </c>
      <c r="C25" s="163" t="s">
        <v>215</v>
      </c>
      <c r="D25" s="157" t="s">
        <v>62</v>
      </c>
      <c r="E25" s="172">
        <v>6</v>
      </c>
      <c r="F25" s="133"/>
      <c r="G25" s="134"/>
      <c r="H25" s="135">
        <f>ROUND(F25*G25,2)</f>
        <v>0</v>
      </c>
      <c r="I25" s="134"/>
      <c r="J25" s="134"/>
      <c r="K25" s="134">
        <f t="shared" si="5"/>
        <v>0</v>
      </c>
      <c r="L25" s="105">
        <f t="shared" si="0"/>
        <v>0</v>
      </c>
      <c r="M25" s="87">
        <f t="shared" si="1"/>
        <v>0</v>
      </c>
      <c r="N25" s="87">
        <f t="shared" si="2"/>
        <v>0</v>
      </c>
      <c r="O25" s="87">
        <f t="shared" si="3"/>
        <v>0</v>
      </c>
      <c r="P25" s="88">
        <f t="shared" si="4"/>
        <v>0</v>
      </c>
    </row>
    <row r="26" spans="1:16" ht="26.4" x14ac:dyDescent="0.2">
      <c r="A26" s="160">
        <v>4</v>
      </c>
      <c r="B26" s="157" t="s">
        <v>56</v>
      </c>
      <c r="C26" s="163" t="s">
        <v>217</v>
      </c>
      <c r="D26" s="157" t="s">
        <v>60</v>
      </c>
      <c r="E26" s="172">
        <v>1</v>
      </c>
      <c r="F26" s="133"/>
      <c r="G26" s="134"/>
      <c r="H26" s="135">
        <f>ROUND(F26*G26,2)</f>
        <v>0</v>
      </c>
      <c r="I26" s="134"/>
      <c r="J26" s="134"/>
      <c r="K26" s="134">
        <f t="shared" si="5"/>
        <v>0</v>
      </c>
      <c r="L26" s="105">
        <f t="shared" si="0"/>
        <v>0</v>
      </c>
      <c r="M26" s="87">
        <f t="shared" si="1"/>
        <v>0</v>
      </c>
      <c r="N26" s="87">
        <f t="shared" si="2"/>
        <v>0</v>
      </c>
      <c r="O26" s="87">
        <f t="shared" si="3"/>
        <v>0</v>
      </c>
      <c r="P26" s="88">
        <f t="shared" si="4"/>
        <v>0</v>
      </c>
    </row>
    <row r="27" spans="1:16" ht="26.4" x14ac:dyDescent="0.2">
      <c r="A27" s="160">
        <v>5</v>
      </c>
      <c r="B27" s="157" t="s">
        <v>56</v>
      </c>
      <c r="C27" s="163" t="s">
        <v>218</v>
      </c>
      <c r="D27" s="157" t="s">
        <v>58</v>
      </c>
      <c r="E27" s="172">
        <v>93</v>
      </c>
      <c r="F27" s="133"/>
      <c r="G27" s="134"/>
      <c r="H27" s="135">
        <f>ROUND(F27*G27,2)</f>
        <v>0</v>
      </c>
      <c r="I27" s="134"/>
      <c r="J27" s="134"/>
      <c r="K27" s="134">
        <f t="shared" si="5"/>
        <v>0</v>
      </c>
      <c r="L27" s="105">
        <f t="shared" si="0"/>
        <v>0</v>
      </c>
      <c r="M27" s="87">
        <f t="shared" si="1"/>
        <v>0</v>
      </c>
      <c r="N27" s="87">
        <f t="shared" si="2"/>
        <v>0</v>
      </c>
      <c r="O27" s="87">
        <f t="shared" si="3"/>
        <v>0</v>
      </c>
      <c r="P27" s="88">
        <f t="shared" si="4"/>
        <v>0</v>
      </c>
    </row>
    <row r="28" spans="1:16" ht="26.4" x14ac:dyDescent="0.2">
      <c r="A28" s="160">
        <v>6</v>
      </c>
      <c r="B28" s="157" t="s">
        <v>56</v>
      </c>
      <c r="C28" s="163" t="s">
        <v>219</v>
      </c>
      <c r="D28" s="157" t="s">
        <v>62</v>
      </c>
      <c r="E28" s="172">
        <v>186</v>
      </c>
      <c r="F28" s="133"/>
      <c r="G28" s="134"/>
      <c r="H28" s="135"/>
      <c r="I28" s="134"/>
      <c r="J28" s="134"/>
      <c r="K28" s="134">
        <f t="shared" si="5"/>
        <v>0</v>
      </c>
      <c r="L28" s="105">
        <f t="shared" si="0"/>
        <v>0</v>
      </c>
      <c r="M28" s="87">
        <f t="shared" si="1"/>
        <v>0</v>
      </c>
      <c r="N28" s="87">
        <f t="shared" si="2"/>
        <v>0</v>
      </c>
      <c r="O28" s="87">
        <f t="shared" si="3"/>
        <v>0</v>
      </c>
      <c r="P28" s="88">
        <f t="shared" si="4"/>
        <v>0</v>
      </c>
    </row>
    <row r="29" spans="1:16" ht="26.4" x14ac:dyDescent="0.2">
      <c r="A29" s="160">
        <v>7</v>
      </c>
      <c r="B29" s="157" t="s">
        <v>56</v>
      </c>
      <c r="C29" s="163" t="s">
        <v>220</v>
      </c>
      <c r="D29" s="157" t="s">
        <v>60</v>
      </c>
      <c r="E29" s="172">
        <v>2</v>
      </c>
      <c r="F29" s="133"/>
      <c r="G29" s="134"/>
      <c r="H29" s="135">
        <f>ROUND(F29*G29,2)</f>
        <v>0</v>
      </c>
      <c r="I29" s="134"/>
      <c r="J29" s="134"/>
      <c r="K29" s="134">
        <f t="shared" si="5"/>
        <v>0</v>
      </c>
      <c r="L29" s="105">
        <f t="shared" si="0"/>
        <v>0</v>
      </c>
      <c r="M29" s="87">
        <f t="shared" si="1"/>
        <v>0</v>
      </c>
      <c r="N29" s="87">
        <f t="shared" si="2"/>
        <v>0</v>
      </c>
      <c r="O29" s="87">
        <f t="shared" si="3"/>
        <v>0</v>
      </c>
      <c r="P29" s="88">
        <f t="shared" si="4"/>
        <v>0</v>
      </c>
    </row>
    <row r="30" spans="1:16" ht="26.4" x14ac:dyDescent="0.2">
      <c r="A30" s="165"/>
      <c r="B30" s="166"/>
      <c r="C30" s="167" t="s">
        <v>221</v>
      </c>
      <c r="D30" s="168"/>
      <c r="E30" s="169"/>
      <c r="F30" s="170"/>
      <c r="G30" s="171"/>
      <c r="H30" s="171"/>
      <c r="I30" s="171"/>
      <c r="J30" s="171"/>
      <c r="K30" s="171"/>
      <c r="L30" s="105"/>
      <c r="M30" s="87"/>
      <c r="N30" s="87"/>
      <c r="O30" s="87"/>
      <c r="P30" s="88"/>
    </row>
    <row r="31" spans="1:16" ht="13.2" x14ac:dyDescent="0.2">
      <c r="A31" s="160">
        <v>1</v>
      </c>
      <c r="B31" s="157" t="s">
        <v>56</v>
      </c>
      <c r="C31" s="163" t="s">
        <v>222</v>
      </c>
      <c r="D31" s="157" t="s">
        <v>70</v>
      </c>
      <c r="E31" s="172">
        <v>9.6999999999999993</v>
      </c>
      <c r="F31" s="133"/>
      <c r="G31" s="134"/>
      <c r="H31" s="135">
        <f>ROUND(F31*G31,2)</f>
        <v>0</v>
      </c>
      <c r="I31" s="134"/>
      <c r="J31" s="134"/>
      <c r="K31" s="134">
        <f t="shared" ref="K31:K46" si="6">ROUND(H31+J31+I31,2)</f>
        <v>0</v>
      </c>
      <c r="L31" s="105">
        <f t="shared" si="0"/>
        <v>0</v>
      </c>
      <c r="M31" s="87">
        <f t="shared" si="1"/>
        <v>0</v>
      </c>
      <c r="N31" s="87">
        <f t="shared" si="2"/>
        <v>0</v>
      </c>
      <c r="O31" s="87">
        <f t="shared" si="3"/>
        <v>0</v>
      </c>
      <c r="P31" s="88">
        <f t="shared" si="4"/>
        <v>0</v>
      </c>
    </row>
    <row r="32" spans="1:16" ht="13.2" x14ac:dyDescent="0.2">
      <c r="A32" s="160">
        <v>2</v>
      </c>
      <c r="B32" s="157"/>
      <c r="C32" s="164" t="s">
        <v>223</v>
      </c>
      <c r="D32" s="157" t="s">
        <v>105</v>
      </c>
      <c r="E32" s="172">
        <f>E31*0.2</f>
        <v>1.94</v>
      </c>
      <c r="F32" s="133"/>
      <c r="G32" s="134"/>
      <c r="H32" s="135"/>
      <c r="I32" s="134"/>
      <c r="J32" s="134"/>
      <c r="K32" s="134">
        <f t="shared" si="6"/>
        <v>0</v>
      </c>
      <c r="L32" s="105">
        <f t="shared" si="0"/>
        <v>0</v>
      </c>
      <c r="M32" s="87">
        <f t="shared" si="1"/>
        <v>0</v>
      </c>
      <c r="N32" s="87">
        <f t="shared" si="2"/>
        <v>0</v>
      </c>
      <c r="O32" s="87">
        <f t="shared" si="3"/>
        <v>0</v>
      </c>
      <c r="P32" s="88">
        <f t="shared" si="4"/>
        <v>0</v>
      </c>
    </row>
    <row r="33" spans="1:17" ht="13.2" x14ac:dyDescent="0.2">
      <c r="A33" s="160">
        <v>3</v>
      </c>
      <c r="B33" s="157"/>
      <c r="C33" s="164" t="s">
        <v>224</v>
      </c>
      <c r="D33" s="157" t="s">
        <v>165</v>
      </c>
      <c r="E33" s="172">
        <f>E31*5.75*1.15</f>
        <v>64.141249999999999</v>
      </c>
      <c r="F33" s="133"/>
      <c r="G33" s="134"/>
      <c r="H33" s="135"/>
      <c r="I33" s="134"/>
      <c r="J33" s="134"/>
      <c r="K33" s="134">
        <f t="shared" si="6"/>
        <v>0</v>
      </c>
      <c r="L33" s="105">
        <f t="shared" si="0"/>
        <v>0</v>
      </c>
      <c r="M33" s="87">
        <f t="shared" si="1"/>
        <v>0</v>
      </c>
      <c r="N33" s="87">
        <f t="shared" si="2"/>
        <v>0</v>
      </c>
      <c r="O33" s="87">
        <f t="shared" si="3"/>
        <v>0</v>
      </c>
      <c r="P33" s="88">
        <f t="shared" si="4"/>
        <v>0</v>
      </c>
    </row>
    <row r="34" spans="1:17" ht="13.2" x14ac:dyDescent="0.2">
      <c r="A34" s="160">
        <v>4</v>
      </c>
      <c r="B34" s="157"/>
      <c r="C34" s="164" t="s">
        <v>225</v>
      </c>
      <c r="D34" s="157" t="s">
        <v>58</v>
      </c>
      <c r="E34" s="172">
        <f>E31*1.43</f>
        <v>13.870999999999999</v>
      </c>
      <c r="F34" s="133"/>
      <c r="G34" s="134"/>
      <c r="H34" s="135"/>
      <c r="I34" s="134"/>
      <c r="J34" s="134"/>
      <c r="K34" s="134">
        <f t="shared" si="6"/>
        <v>0</v>
      </c>
      <c r="L34" s="105">
        <f t="shared" si="0"/>
        <v>0</v>
      </c>
      <c r="M34" s="87">
        <f t="shared" si="1"/>
        <v>0</v>
      </c>
      <c r="N34" s="87">
        <f t="shared" si="2"/>
        <v>0</v>
      </c>
      <c r="O34" s="87">
        <f t="shared" si="3"/>
        <v>0</v>
      </c>
      <c r="P34" s="88">
        <f t="shared" si="4"/>
        <v>0</v>
      </c>
    </row>
    <row r="35" spans="1:17" ht="13.2" x14ac:dyDescent="0.2">
      <c r="A35" s="160">
        <v>5</v>
      </c>
      <c r="B35" s="157"/>
      <c r="C35" s="164" t="s">
        <v>226</v>
      </c>
      <c r="D35" s="157" t="s">
        <v>70</v>
      </c>
      <c r="E35" s="172">
        <f>E31</f>
        <v>9.6999999999999993</v>
      </c>
      <c r="F35" s="133"/>
      <c r="G35" s="134"/>
      <c r="H35" s="135"/>
      <c r="I35" s="134"/>
      <c r="J35" s="134"/>
      <c r="K35" s="134">
        <f t="shared" si="6"/>
        <v>0</v>
      </c>
      <c r="L35" s="105">
        <f t="shared" si="0"/>
        <v>0</v>
      </c>
      <c r="M35" s="87">
        <f t="shared" si="1"/>
        <v>0</v>
      </c>
      <c r="N35" s="87">
        <f t="shared" si="2"/>
        <v>0</v>
      </c>
      <c r="O35" s="87">
        <f t="shared" si="3"/>
        <v>0</v>
      </c>
      <c r="P35" s="88">
        <f t="shared" si="4"/>
        <v>0</v>
      </c>
    </row>
    <row r="36" spans="1:17" ht="13.2" x14ac:dyDescent="0.2">
      <c r="A36" s="160">
        <v>6</v>
      </c>
      <c r="B36" s="157" t="s">
        <v>56</v>
      </c>
      <c r="C36" s="163" t="s">
        <v>227</v>
      </c>
      <c r="D36" s="157" t="s">
        <v>70</v>
      </c>
      <c r="E36" s="162">
        <v>9.6999999999999993</v>
      </c>
      <c r="F36" s="133"/>
      <c r="G36" s="134"/>
      <c r="H36" s="135">
        <f t="shared" ref="H36" si="7">ROUND(F36*G36,2)</f>
        <v>0</v>
      </c>
      <c r="I36" s="134"/>
      <c r="J36" s="134"/>
      <c r="K36" s="134">
        <f t="shared" si="6"/>
        <v>0</v>
      </c>
      <c r="L36" s="105">
        <f t="shared" si="0"/>
        <v>0</v>
      </c>
      <c r="M36" s="87">
        <f t="shared" si="1"/>
        <v>0</v>
      </c>
      <c r="N36" s="87">
        <f t="shared" si="2"/>
        <v>0</v>
      </c>
      <c r="O36" s="87">
        <f t="shared" si="3"/>
        <v>0</v>
      </c>
      <c r="P36" s="88">
        <f t="shared" si="4"/>
        <v>0</v>
      </c>
    </row>
    <row r="37" spans="1:17" ht="13.2" x14ac:dyDescent="0.2">
      <c r="A37" s="160">
        <v>7</v>
      </c>
      <c r="B37" s="157"/>
      <c r="C37" s="164" t="s">
        <v>160</v>
      </c>
      <c r="D37" s="157" t="s">
        <v>157</v>
      </c>
      <c r="E37" s="162">
        <f>E36*0.12</f>
        <v>1.1639999999999999</v>
      </c>
      <c r="F37" s="133"/>
      <c r="G37" s="134"/>
      <c r="H37" s="135"/>
      <c r="I37" s="134"/>
      <c r="J37" s="134"/>
      <c r="K37" s="134">
        <f t="shared" si="6"/>
        <v>0</v>
      </c>
      <c r="L37" s="105">
        <f t="shared" si="0"/>
        <v>0</v>
      </c>
      <c r="M37" s="87">
        <f t="shared" si="1"/>
        <v>0</v>
      </c>
      <c r="N37" s="87">
        <f t="shared" si="2"/>
        <v>0</v>
      </c>
      <c r="O37" s="87">
        <f t="shared" si="3"/>
        <v>0</v>
      </c>
      <c r="P37" s="88">
        <f t="shared" si="4"/>
        <v>0</v>
      </c>
    </row>
    <row r="38" spans="1:17" ht="13.2" x14ac:dyDescent="0.2">
      <c r="A38" s="160">
        <v>8</v>
      </c>
      <c r="B38" s="157"/>
      <c r="C38" s="164" t="s">
        <v>174</v>
      </c>
      <c r="D38" s="157" t="s">
        <v>165</v>
      </c>
      <c r="E38" s="162">
        <f>E36*4.5</f>
        <v>43.65</v>
      </c>
      <c r="F38" s="133"/>
      <c r="G38" s="134"/>
      <c r="H38" s="135"/>
      <c r="I38" s="134"/>
      <c r="J38" s="134"/>
      <c r="K38" s="134">
        <f t="shared" si="6"/>
        <v>0</v>
      </c>
      <c r="L38" s="105">
        <f t="shared" si="0"/>
        <v>0</v>
      </c>
      <c r="M38" s="87">
        <f t="shared" si="1"/>
        <v>0</v>
      </c>
      <c r="N38" s="87">
        <f t="shared" si="2"/>
        <v>0</v>
      </c>
      <c r="O38" s="87">
        <f t="shared" si="3"/>
        <v>0</v>
      </c>
      <c r="P38" s="88">
        <f t="shared" si="4"/>
        <v>0</v>
      </c>
    </row>
    <row r="39" spans="1:17" ht="13.2" x14ac:dyDescent="0.2">
      <c r="A39" s="160">
        <v>9</v>
      </c>
      <c r="B39" s="157"/>
      <c r="C39" s="164" t="s">
        <v>170</v>
      </c>
      <c r="D39" s="157" t="s">
        <v>70</v>
      </c>
      <c r="E39" s="162">
        <f>E36*1.2</f>
        <v>11.639999999999999</v>
      </c>
      <c r="F39" s="133"/>
      <c r="G39" s="134"/>
      <c r="H39" s="135"/>
      <c r="I39" s="134"/>
      <c r="J39" s="134"/>
      <c r="K39" s="134">
        <f t="shared" si="6"/>
        <v>0</v>
      </c>
      <c r="L39" s="105">
        <f t="shared" si="0"/>
        <v>0</v>
      </c>
      <c r="M39" s="87">
        <f t="shared" si="1"/>
        <v>0</v>
      </c>
      <c r="N39" s="87">
        <f t="shared" si="2"/>
        <v>0</v>
      </c>
      <c r="O39" s="87">
        <f t="shared" si="3"/>
        <v>0</v>
      </c>
      <c r="P39" s="88">
        <f t="shared" si="4"/>
        <v>0</v>
      </c>
    </row>
    <row r="40" spans="1:17" ht="13.2" x14ac:dyDescent="0.2">
      <c r="A40" s="160">
        <v>10</v>
      </c>
      <c r="B40" s="157"/>
      <c r="C40" s="164" t="s">
        <v>228</v>
      </c>
      <c r="D40" s="157" t="s">
        <v>58</v>
      </c>
      <c r="E40" s="162">
        <v>20</v>
      </c>
      <c r="F40" s="133"/>
      <c r="G40" s="134"/>
      <c r="H40" s="135"/>
      <c r="I40" s="134"/>
      <c r="J40" s="134"/>
      <c r="K40" s="134">
        <f t="shared" si="6"/>
        <v>0</v>
      </c>
      <c r="L40" s="105">
        <f t="shared" si="0"/>
        <v>0</v>
      </c>
      <c r="M40" s="87">
        <f t="shared" si="1"/>
        <v>0</v>
      </c>
      <c r="N40" s="87">
        <f t="shared" si="2"/>
        <v>0</v>
      </c>
      <c r="O40" s="87">
        <f t="shared" si="3"/>
        <v>0</v>
      </c>
      <c r="P40" s="88">
        <f t="shared" si="4"/>
        <v>0</v>
      </c>
    </row>
    <row r="41" spans="1:17" ht="26.4" x14ac:dyDescent="0.2">
      <c r="A41" s="160">
        <v>11</v>
      </c>
      <c r="B41" s="157" t="s">
        <v>56</v>
      </c>
      <c r="C41" s="163" t="s">
        <v>229</v>
      </c>
      <c r="D41" s="157" t="s">
        <v>70</v>
      </c>
      <c r="E41" s="162">
        <f>E36</f>
        <v>9.6999999999999993</v>
      </c>
      <c r="F41" s="133"/>
      <c r="G41" s="134"/>
      <c r="H41" s="135">
        <f t="shared" ref="H41" si="8">ROUND(F41*G41,2)</f>
        <v>0</v>
      </c>
      <c r="I41" s="134"/>
      <c r="J41" s="134"/>
      <c r="K41" s="134">
        <f t="shared" si="6"/>
        <v>0</v>
      </c>
      <c r="L41" s="105">
        <f t="shared" si="0"/>
        <v>0</v>
      </c>
      <c r="M41" s="87">
        <f t="shared" si="1"/>
        <v>0</v>
      </c>
      <c r="N41" s="87">
        <f t="shared" si="2"/>
        <v>0</v>
      </c>
      <c r="O41" s="87">
        <f t="shared" si="3"/>
        <v>0</v>
      </c>
      <c r="P41" s="88">
        <f t="shared" si="4"/>
        <v>0</v>
      </c>
    </row>
    <row r="42" spans="1:17" ht="13.2" x14ac:dyDescent="0.2">
      <c r="A42" s="160">
        <v>12</v>
      </c>
      <c r="B42" s="157"/>
      <c r="C42" s="164" t="s">
        <v>160</v>
      </c>
      <c r="D42" s="157" t="s">
        <v>157</v>
      </c>
      <c r="E42" s="162">
        <f>E41*0.12</f>
        <v>1.1639999999999999</v>
      </c>
      <c r="F42" s="133"/>
      <c r="G42" s="134"/>
      <c r="H42" s="135"/>
      <c r="I42" s="134"/>
      <c r="J42" s="134"/>
      <c r="K42" s="134">
        <f t="shared" si="6"/>
        <v>0</v>
      </c>
      <c r="L42" s="105">
        <f t="shared" si="0"/>
        <v>0</v>
      </c>
      <c r="M42" s="87">
        <f t="shared" si="1"/>
        <v>0</v>
      </c>
      <c r="N42" s="87">
        <f t="shared" si="2"/>
        <v>0</v>
      </c>
      <c r="O42" s="87">
        <f t="shared" si="3"/>
        <v>0</v>
      </c>
      <c r="P42" s="88">
        <f t="shared" si="4"/>
        <v>0</v>
      </c>
      <c r="Q42" s="19"/>
    </row>
    <row r="43" spans="1:17" ht="13.2" x14ac:dyDescent="0.2">
      <c r="A43" s="160">
        <v>13</v>
      </c>
      <c r="B43" s="157"/>
      <c r="C43" s="164" t="s">
        <v>230</v>
      </c>
      <c r="D43" s="157" t="s">
        <v>165</v>
      </c>
      <c r="E43" s="162">
        <f>E41*1.5*1.15</f>
        <v>16.732499999999998</v>
      </c>
      <c r="F43" s="133"/>
      <c r="G43" s="134"/>
      <c r="H43" s="135"/>
      <c r="I43" s="134"/>
      <c r="J43" s="134"/>
      <c r="K43" s="134">
        <f t="shared" si="6"/>
        <v>0</v>
      </c>
      <c r="L43" s="105">
        <f t="shared" si="0"/>
        <v>0</v>
      </c>
      <c r="M43" s="87">
        <f t="shared" si="1"/>
        <v>0</v>
      </c>
      <c r="N43" s="87">
        <f t="shared" si="2"/>
        <v>0</v>
      </c>
      <c r="O43" s="87">
        <f t="shared" si="3"/>
        <v>0</v>
      </c>
      <c r="P43" s="88">
        <f t="shared" si="4"/>
        <v>0</v>
      </c>
      <c r="Q43" s="19"/>
    </row>
    <row r="44" spans="1:17" ht="13.2" x14ac:dyDescent="0.2">
      <c r="A44" s="160">
        <v>14</v>
      </c>
      <c r="B44" s="157"/>
      <c r="C44" s="164" t="s">
        <v>231</v>
      </c>
      <c r="D44" s="157" t="s">
        <v>58</v>
      </c>
      <c r="E44" s="162">
        <f>E41*0.1</f>
        <v>0.97</v>
      </c>
      <c r="F44" s="133"/>
      <c r="G44" s="134"/>
      <c r="H44" s="135"/>
      <c r="I44" s="134"/>
      <c r="J44" s="134"/>
      <c r="K44" s="134">
        <f t="shared" si="6"/>
        <v>0</v>
      </c>
      <c r="L44" s="105">
        <f t="shared" si="0"/>
        <v>0</v>
      </c>
      <c r="M44" s="87">
        <f t="shared" si="1"/>
        <v>0</v>
      </c>
      <c r="N44" s="87">
        <f t="shared" si="2"/>
        <v>0</v>
      </c>
      <c r="O44" s="87">
        <f t="shared" si="3"/>
        <v>0</v>
      </c>
      <c r="P44" s="88">
        <f t="shared" si="4"/>
        <v>0</v>
      </c>
    </row>
    <row r="45" spans="1:17" ht="13.2" x14ac:dyDescent="0.2">
      <c r="A45" s="160">
        <v>15</v>
      </c>
      <c r="B45" s="157"/>
      <c r="C45" s="164" t="s">
        <v>232</v>
      </c>
      <c r="D45" s="157" t="s">
        <v>157</v>
      </c>
      <c r="E45" s="162">
        <f>E41*0.25*1.2</f>
        <v>2.9099999999999997</v>
      </c>
      <c r="F45" s="133"/>
      <c r="G45" s="134"/>
      <c r="H45" s="135"/>
      <c r="I45" s="134"/>
      <c r="J45" s="134"/>
      <c r="K45" s="134">
        <f t="shared" si="6"/>
        <v>0</v>
      </c>
      <c r="L45" s="105">
        <f t="shared" si="0"/>
        <v>0</v>
      </c>
      <c r="M45" s="87">
        <f t="shared" si="1"/>
        <v>0</v>
      </c>
      <c r="N45" s="87">
        <f t="shared" si="2"/>
        <v>0</v>
      </c>
      <c r="O45" s="87">
        <f t="shared" si="3"/>
        <v>0</v>
      </c>
      <c r="P45" s="88">
        <f t="shared" si="4"/>
        <v>0</v>
      </c>
    </row>
    <row r="46" spans="1:17" ht="13.2" x14ac:dyDescent="0.2">
      <c r="A46" s="160">
        <v>16</v>
      </c>
      <c r="B46" s="157"/>
      <c r="C46" s="164" t="s">
        <v>226</v>
      </c>
      <c r="D46" s="157" t="s">
        <v>70</v>
      </c>
      <c r="E46" s="172">
        <f>E41</f>
        <v>9.6999999999999993</v>
      </c>
      <c r="F46" s="133"/>
      <c r="G46" s="134"/>
      <c r="H46" s="135"/>
      <c r="I46" s="134"/>
      <c r="J46" s="134"/>
      <c r="K46" s="134">
        <f t="shared" si="6"/>
        <v>0</v>
      </c>
      <c r="L46" s="105">
        <f t="shared" si="0"/>
        <v>0</v>
      </c>
      <c r="M46" s="87">
        <f t="shared" si="1"/>
        <v>0</v>
      </c>
      <c r="N46" s="87">
        <f t="shared" si="2"/>
        <v>0</v>
      </c>
      <c r="O46" s="87">
        <f t="shared" si="3"/>
        <v>0</v>
      </c>
      <c r="P46" s="88">
        <f t="shared" si="4"/>
        <v>0</v>
      </c>
    </row>
    <row r="47" spans="1:17" ht="26.4" x14ac:dyDescent="0.2">
      <c r="A47" s="165"/>
      <c r="B47" s="166"/>
      <c r="C47" s="167" t="s">
        <v>233</v>
      </c>
      <c r="D47" s="168"/>
      <c r="E47" s="169"/>
      <c r="F47" s="170"/>
      <c r="G47" s="171"/>
      <c r="H47" s="171"/>
      <c r="I47" s="171"/>
      <c r="J47" s="171"/>
      <c r="K47" s="171"/>
      <c r="L47" s="105"/>
      <c r="M47" s="87"/>
      <c r="N47" s="87"/>
      <c r="O47" s="87"/>
      <c r="P47" s="88"/>
    </row>
    <row r="48" spans="1:17" ht="13.2" x14ac:dyDescent="0.2">
      <c r="A48" s="160">
        <v>1</v>
      </c>
      <c r="B48" s="157" t="s">
        <v>56</v>
      </c>
      <c r="C48" s="163" t="s">
        <v>222</v>
      </c>
      <c r="D48" s="157" t="s">
        <v>70</v>
      </c>
      <c r="E48" s="172">
        <f>0.8/0.2</f>
        <v>4</v>
      </c>
      <c r="F48" s="133"/>
      <c r="G48" s="134"/>
      <c r="H48" s="135">
        <f>ROUND(F48*G48,2)</f>
        <v>0</v>
      </c>
      <c r="I48" s="134"/>
      <c r="J48" s="134"/>
      <c r="K48" s="134">
        <f t="shared" ref="K48:K64" si="9">ROUND(H48+J48+I48,2)</f>
        <v>0</v>
      </c>
      <c r="L48" s="105">
        <f t="shared" si="0"/>
        <v>0</v>
      </c>
      <c r="M48" s="87">
        <f t="shared" si="1"/>
        <v>0</v>
      </c>
      <c r="N48" s="87">
        <f t="shared" si="2"/>
        <v>0</v>
      </c>
      <c r="O48" s="87">
        <f t="shared" si="3"/>
        <v>0</v>
      </c>
      <c r="P48" s="88">
        <f t="shared" si="4"/>
        <v>0</v>
      </c>
    </row>
    <row r="49" spans="1:23" ht="13.2" x14ac:dyDescent="0.2">
      <c r="A49" s="160">
        <v>2</v>
      </c>
      <c r="B49" s="157"/>
      <c r="C49" s="164" t="s">
        <v>223</v>
      </c>
      <c r="D49" s="157" t="s">
        <v>105</v>
      </c>
      <c r="E49" s="172">
        <f>E48*0.2</f>
        <v>0.8</v>
      </c>
      <c r="F49" s="133"/>
      <c r="G49" s="134"/>
      <c r="H49" s="135"/>
      <c r="I49" s="134"/>
      <c r="J49" s="134"/>
      <c r="K49" s="134">
        <f t="shared" si="9"/>
        <v>0</v>
      </c>
      <c r="L49" s="105">
        <f t="shared" si="0"/>
        <v>0</v>
      </c>
      <c r="M49" s="87">
        <f t="shared" si="1"/>
        <v>0</v>
      </c>
      <c r="N49" s="87">
        <f t="shared" si="2"/>
        <v>0</v>
      </c>
      <c r="O49" s="87">
        <f t="shared" si="3"/>
        <v>0</v>
      </c>
      <c r="P49" s="88">
        <f t="shared" si="4"/>
        <v>0</v>
      </c>
    </row>
    <row r="50" spans="1:23" ht="26.4" x14ac:dyDescent="0.2">
      <c r="A50" s="160">
        <v>3</v>
      </c>
      <c r="B50" s="157"/>
      <c r="C50" s="164" t="s">
        <v>234</v>
      </c>
      <c r="D50" s="157" t="s">
        <v>62</v>
      </c>
      <c r="E50" s="172">
        <v>1</v>
      </c>
      <c r="F50" s="133"/>
      <c r="G50" s="134"/>
      <c r="H50" s="135"/>
      <c r="I50" s="134"/>
      <c r="J50" s="134"/>
      <c r="K50" s="134">
        <f t="shared" si="9"/>
        <v>0</v>
      </c>
      <c r="L50" s="105">
        <f t="shared" si="0"/>
        <v>0</v>
      </c>
      <c r="M50" s="87">
        <f t="shared" si="1"/>
        <v>0</v>
      </c>
      <c r="N50" s="87">
        <f t="shared" si="2"/>
        <v>0</v>
      </c>
      <c r="O50" s="87">
        <f t="shared" si="3"/>
        <v>0</v>
      </c>
      <c r="P50" s="88">
        <f t="shared" si="4"/>
        <v>0</v>
      </c>
    </row>
    <row r="51" spans="1:23" ht="13.2" x14ac:dyDescent="0.2">
      <c r="A51" s="160">
        <v>4</v>
      </c>
      <c r="B51" s="157"/>
      <c r="C51" s="164" t="s">
        <v>224</v>
      </c>
      <c r="D51" s="157" t="s">
        <v>165</v>
      </c>
      <c r="E51" s="172">
        <f>E48*5.75*1.15</f>
        <v>26.45</v>
      </c>
      <c r="F51" s="133"/>
      <c r="G51" s="134"/>
      <c r="H51" s="135"/>
      <c r="I51" s="134"/>
      <c r="J51" s="134"/>
      <c r="K51" s="134">
        <f t="shared" si="9"/>
        <v>0</v>
      </c>
      <c r="L51" s="105">
        <f t="shared" si="0"/>
        <v>0</v>
      </c>
      <c r="M51" s="87">
        <f t="shared" si="1"/>
        <v>0</v>
      </c>
      <c r="N51" s="87">
        <f t="shared" si="2"/>
        <v>0</v>
      </c>
      <c r="O51" s="87">
        <f t="shared" si="3"/>
        <v>0</v>
      </c>
      <c r="P51" s="88">
        <f t="shared" si="4"/>
        <v>0</v>
      </c>
    </row>
    <row r="52" spans="1:23" ht="13.2" x14ac:dyDescent="0.2">
      <c r="A52" s="160">
        <v>5</v>
      </c>
      <c r="B52" s="157"/>
      <c r="C52" s="164" t="s">
        <v>225</v>
      </c>
      <c r="D52" s="157" t="s">
        <v>58</v>
      </c>
      <c r="E52" s="172">
        <f>E48*1.43</f>
        <v>5.72</v>
      </c>
      <c r="F52" s="133"/>
      <c r="G52" s="134"/>
      <c r="H52" s="135"/>
      <c r="I52" s="134"/>
      <c r="J52" s="134"/>
      <c r="K52" s="134">
        <f t="shared" si="9"/>
        <v>0</v>
      </c>
      <c r="L52" s="105">
        <f t="shared" si="0"/>
        <v>0</v>
      </c>
      <c r="M52" s="87">
        <f t="shared" si="1"/>
        <v>0</v>
      </c>
      <c r="N52" s="87">
        <f t="shared" si="2"/>
        <v>0</v>
      </c>
      <c r="O52" s="87">
        <f t="shared" si="3"/>
        <v>0</v>
      </c>
      <c r="P52" s="88">
        <f t="shared" si="4"/>
        <v>0</v>
      </c>
    </row>
    <row r="53" spans="1:23" ht="13.2" x14ac:dyDescent="0.2">
      <c r="A53" s="160">
        <v>6</v>
      </c>
      <c r="B53" s="157"/>
      <c r="C53" s="164" t="s">
        <v>226</v>
      </c>
      <c r="D53" s="157" t="s">
        <v>70</v>
      </c>
      <c r="E53" s="172">
        <f>E48</f>
        <v>4</v>
      </c>
      <c r="F53" s="133"/>
      <c r="G53" s="134"/>
      <c r="H53" s="135"/>
      <c r="I53" s="134"/>
      <c r="J53" s="134"/>
      <c r="K53" s="134">
        <f t="shared" si="9"/>
        <v>0</v>
      </c>
      <c r="L53" s="105">
        <f t="shared" si="0"/>
        <v>0</v>
      </c>
      <c r="M53" s="87">
        <f t="shared" si="1"/>
        <v>0</v>
      </c>
      <c r="N53" s="87">
        <f t="shared" si="2"/>
        <v>0</v>
      </c>
      <c r="O53" s="87">
        <f t="shared" si="3"/>
        <v>0</v>
      </c>
      <c r="P53" s="88">
        <f t="shared" si="4"/>
        <v>0</v>
      </c>
    </row>
    <row r="54" spans="1:23" ht="13.2" x14ac:dyDescent="0.2">
      <c r="A54" s="160">
        <v>7</v>
      </c>
      <c r="B54" s="157" t="s">
        <v>56</v>
      </c>
      <c r="C54" s="163" t="s">
        <v>235</v>
      </c>
      <c r="D54" s="157" t="s">
        <v>70</v>
      </c>
      <c r="E54" s="162">
        <v>4.9000000000000004</v>
      </c>
      <c r="F54" s="133"/>
      <c r="G54" s="134"/>
      <c r="H54" s="135">
        <f t="shared" ref="H54" si="10">ROUND(F54*G54,2)</f>
        <v>0</v>
      </c>
      <c r="I54" s="134"/>
      <c r="J54" s="134"/>
      <c r="K54" s="134">
        <f t="shared" si="9"/>
        <v>0</v>
      </c>
      <c r="L54" s="105">
        <f t="shared" si="0"/>
        <v>0</v>
      </c>
      <c r="M54" s="87">
        <f t="shared" si="1"/>
        <v>0</v>
      </c>
      <c r="N54" s="87">
        <f t="shared" si="2"/>
        <v>0</v>
      </c>
      <c r="O54" s="87">
        <f t="shared" si="3"/>
        <v>0</v>
      </c>
      <c r="P54" s="88">
        <f t="shared" si="4"/>
        <v>0</v>
      </c>
    </row>
    <row r="55" spans="1:23" ht="13.2" x14ac:dyDescent="0.2">
      <c r="A55" s="160">
        <v>8</v>
      </c>
      <c r="B55" s="157"/>
      <c r="C55" s="164" t="s">
        <v>160</v>
      </c>
      <c r="D55" s="157" t="s">
        <v>157</v>
      </c>
      <c r="E55" s="162">
        <f>E54*0.12</f>
        <v>0.58799999999999997</v>
      </c>
      <c r="F55" s="133"/>
      <c r="G55" s="134"/>
      <c r="H55" s="135"/>
      <c r="I55" s="134"/>
      <c r="J55" s="134"/>
      <c r="K55" s="134">
        <f t="shared" si="9"/>
        <v>0</v>
      </c>
      <c r="L55" s="105">
        <f t="shared" si="0"/>
        <v>0</v>
      </c>
      <c r="M55" s="87">
        <f t="shared" si="1"/>
        <v>0</v>
      </c>
      <c r="N55" s="87">
        <f t="shared" si="2"/>
        <v>0</v>
      </c>
      <c r="O55" s="87">
        <f t="shared" si="3"/>
        <v>0</v>
      </c>
      <c r="P55" s="88">
        <f t="shared" si="4"/>
        <v>0</v>
      </c>
    </row>
    <row r="56" spans="1:23" ht="13.2" x14ac:dyDescent="0.2">
      <c r="A56" s="160">
        <v>9</v>
      </c>
      <c r="B56" s="157"/>
      <c r="C56" s="164" t="s">
        <v>174</v>
      </c>
      <c r="D56" s="157" t="s">
        <v>165</v>
      </c>
      <c r="E56" s="162">
        <f>E54*4.5</f>
        <v>22.05</v>
      </c>
      <c r="F56" s="133"/>
      <c r="G56" s="134"/>
      <c r="H56" s="135"/>
      <c r="I56" s="134"/>
      <c r="J56" s="134"/>
      <c r="K56" s="134">
        <f t="shared" si="9"/>
        <v>0</v>
      </c>
      <c r="L56" s="105">
        <f t="shared" si="0"/>
        <v>0</v>
      </c>
      <c r="M56" s="87">
        <f t="shared" si="1"/>
        <v>0</v>
      </c>
      <c r="N56" s="87">
        <f t="shared" si="2"/>
        <v>0</v>
      </c>
      <c r="O56" s="87">
        <f t="shared" si="3"/>
        <v>0</v>
      </c>
      <c r="P56" s="88">
        <f t="shared" si="4"/>
        <v>0</v>
      </c>
      <c r="Q56" s="97"/>
      <c r="R56" s="98"/>
      <c r="S56" s="98"/>
      <c r="T56" s="98"/>
      <c r="U56" s="98"/>
      <c r="V56" s="98"/>
      <c r="W56" s="98"/>
    </row>
    <row r="57" spans="1:23" ht="13.2" x14ac:dyDescent="0.2">
      <c r="A57" s="160">
        <v>10</v>
      </c>
      <c r="B57" s="157"/>
      <c r="C57" s="164" t="s">
        <v>170</v>
      </c>
      <c r="D57" s="157" t="s">
        <v>70</v>
      </c>
      <c r="E57" s="162">
        <f>E54*1.2</f>
        <v>5.88</v>
      </c>
      <c r="F57" s="133"/>
      <c r="G57" s="134"/>
      <c r="H57" s="135"/>
      <c r="I57" s="134"/>
      <c r="J57" s="134"/>
      <c r="K57" s="134">
        <f t="shared" si="9"/>
        <v>0</v>
      </c>
      <c r="L57" s="105">
        <f t="shared" si="0"/>
        <v>0</v>
      </c>
      <c r="M57" s="87">
        <f t="shared" si="1"/>
        <v>0</v>
      </c>
      <c r="N57" s="87">
        <f t="shared" si="2"/>
        <v>0</v>
      </c>
      <c r="O57" s="87">
        <f t="shared" si="3"/>
        <v>0</v>
      </c>
      <c r="P57" s="88">
        <f t="shared" si="4"/>
        <v>0</v>
      </c>
      <c r="Q57" s="97"/>
      <c r="R57" s="98"/>
      <c r="S57" s="98"/>
      <c r="T57" s="98"/>
      <c r="U57" s="98"/>
      <c r="V57" s="98"/>
      <c r="W57" s="98"/>
    </row>
    <row r="58" spans="1:23" ht="13.2" x14ac:dyDescent="0.2">
      <c r="A58" s="160">
        <v>11</v>
      </c>
      <c r="B58" s="157"/>
      <c r="C58" s="164" t="s">
        <v>228</v>
      </c>
      <c r="D58" s="157" t="s">
        <v>58</v>
      </c>
      <c r="E58" s="162">
        <v>9</v>
      </c>
      <c r="F58" s="133"/>
      <c r="G58" s="134"/>
      <c r="H58" s="135"/>
      <c r="I58" s="134"/>
      <c r="J58" s="134"/>
      <c r="K58" s="134">
        <f t="shared" si="9"/>
        <v>0</v>
      </c>
      <c r="L58" s="105">
        <f t="shared" si="0"/>
        <v>0</v>
      </c>
      <c r="M58" s="87">
        <f t="shared" si="1"/>
        <v>0</v>
      </c>
      <c r="N58" s="87">
        <f t="shared" si="2"/>
        <v>0</v>
      </c>
      <c r="O58" s="87">
        <f t="shared" si="3"/>
        <v>0</v>
      </c>
      <c r="P58" s="88">
        <f t="shared" si="4"/>
        <v>0</v>
      </c>
      <c r="Q58" s="97"/>
      <c r="R58" s="98"/>
      <c r="S58" s="98"/>
      <c r="T58" s="98"/>
      <c r="U58" s="98"/>
      <c r="V58" s="98"/>
      <c r="W58" s="98"/>
    </row>
    <row r="59" spans="1:23" ht="26.4" x14ac:dyDescent="0.2">
      <c r="A59" s="160">
        <v>12</v>
      </c>
      <c r="B59" s="157" t="s">
        <v>56</v>
      </c>
      <c r="C59" s="163" t="s">
        <v>236</v>
      </c>
      <c r="D59" s="157" t="s">
        <v>70</v>
      </c>
      <c r="E59" s="162">
        <f>E54</f>
        <v>4.9000000000000004</v>
      </c>
      <c r="F59" s="133"/>
      <c r="G59" s="134"/>
      <c r="H59" s="135">
        <f t="shared" ref="H59" si="11">ROUND(F59*G59,2)</f>
        <v>0</v>
      </c>
      <c r="I59" s="134"/>
      <c r="J59" s="134"/>
      <c r="K59" s="134">
        <f t="shared" si="9"/>
        <v>0</v>
      </c>
      <c r="L59" s="105">
        <f t="shared" si="0"/>
        <v>0</v>
      </c>
      <c r="M59" s="87">
        <f t="shared" si="1"/>
        <v>0</v>
      </c>
      <c r="N59" s="87">
        <f t="shared" si="2"/>
        <v>0</v>
      </c>
      <c r="O59" s="87">
        <f t="shared" si="3"/>
        <v>0</v>
      </c>
      <c r="P59" s="88">
        <f t="shared" si="4"/>
        <v>0</v>
      </c>
      <c r="Q59" s="97"/>
      <c r="R59" s="98"/>
      <c r="S59" s="98"/>
      <c r="T59" s="98"/>
      <c r="U59" s="98"/>
      <c r="V59" s="98"/>
      <c r="W59" s="98"/>
    </row>
    <row r="60" spans="1:23" ht="13.2" x14ac:dyDescent="0.2">
      <c r="A60" s="160">
        <v>13</v>
      </c>
      <c r="B60" s="157"/>
      <c r="C60" s="164" t="s">
        <v>160</v>
      </c>
      <c r="D60" s="157" t="s">
        <v>157</v>
      </c>
      <c r="E60" s="162">
        <f>E59*0.12</f>
        <v>0.58799999999999997</v>
      </c>
      <c r="F60" s="133"/>
      <c r="G60" s="134"/>
      <c r="H60" s="135"/>
      <c r="I60" s="134"/>
      <c r="J60" s="134"/>
      <c r="K60" s="134">
        <f t="shared" si="9"/>
        <v>0</v>
      </c>
      <c r="L60" s="105">
        <f t="shared" si="0"/>
        <v>0</v>
      </c>
      <c r="M60" s="87">
        <f t="shared" si="1"/>
        <v>0</v>
      </c>
      <c r="N60" s="87">
        <f t="shared" si="2"/>
        <v>0</v>
      </c>
      <c r="O60" s="87">
        <f t="shared" si="3"/>
        <v>0</v>
      </c>
      <c r="P60" s="88">
        <f t="shared" si="4"/>
        <v>0</v>
      </c>
    </row>
    <row r="61" spans="1:23" ht="13.2" x14ac:dyDescent="0.2">
      <c r="A61" s="160">
        <v>14</v>
      </c>
      <c r="B61" s="157"/>
      <c r="C61" s="164" t="s">
        <v>230</v>
      </c>
      <c r="D61" s="157" t="s">
        <v>165</v>
      </c>
      <c r="E61" s="162">
        <f>E59*1.5*1.15</f>
        <v>8.4525000000000006</v>
      </c>
      <c r="F61" s="133"/>
      <c r="G61" s="134"/>
      <c r="H61" s="135"/>
      <c r="I61" s="134"/>
      <c r="J61" s="134"/>
      <c r="K61" s="134">
        <f t="shared" si="9"/>
        <v>0</v>
      </c>
      <c r="L61" s="105">
        <f t="shared" si="0"/>
        <v>0</v>
      </c>
      <c r="M61" s="87">
        <f t="shared" si="1"/>
        <v>0</v>
      </c>
      <c r="N61" s="87">
        <f t="shared" si="2"/>
        <v>0</v>
      </c>
      <c r="O61" s="87">
        <f t="shared" si="3"/>
        <v>0</v>
      </c>
      <c r="P61" s="88">
        <f t="shared" si="4"/>
        <v>0</v>
      </c>
    </row>
    <row r="62" spans="1:23" ht="13.2" x14ac:dyDescent="0.2">
      <c r="A62" s="160">
        <v>15</v>
      </c>
      <c r="B62" s="157"/>
      <c r="C62" s="164" t="s">
        <v>231</v>
      </c>
      <c r="D62" s="157" t="s">
        <v>58</v>
      </c>
      <c r="E62" s="162">
        <f>E59*0.1</f>
        <v>0.49000000000000005</v>
      </c>
      <c r="F62" s="133"/>
      <c r="G62" s="134"/>
      <c r="H62" s="135"/>
      <c r="I62" s="134"/>
      <c r="J62" s="134"/>
      <c r="K62" s="134">
        <f t="shared" si="9"/>
        <v>0</v>
      </c>
      <c r="L62" s="105">
        <f t="shared" si="0"/>
        <v>0</v>
      </c>
      <c r="M62" s="87">
        <f t="shared" si="1"/>
        <v>0</v>
      </c>
      <c r="N62" s="87">
        <f t="shared" si="2"/>
        <v>0</v>
      </c>
      <c r="O62" s="87">
        <f t="shared" si="3"/>
        <v>0</v>
      </c>
      <c r="P62" s="88">
        <f t="shared" si="4"/>
        <v>0</v>
      </c>
    </row>
    <row r="63" spans="1:23" ht="13.2" x14ac:dyDescent="0.2">
      <c r="A63" s="160">
        <v>16</v>
      </c>
      <c r="B63" s="157"/>
      <c r="C63" s="164" t="s">
        <v>232</v>
      </c>
      <c r="D63" s="157" t="s">
        <v>157</v>
      </c>
      <c r="E63" s="162">
        <f>E59*0.25*1.2</f>
        <v>1.47</v>
      </c>
      <c r="F63" s="133"/>
      <c r="G63" s="134"/>
      <c r="H63" s="135"/>
      <c r="I63" s="134"/>
      <c r="J63" s="134"/>
      <c r="K63" s="134">
        <f t="shared" si="9"/>
        <v>0</v>
      </c>
      <c r="L63" s="105">
        <f t="shared" si="0"/>
        <v>0</v>
      </c>
      <c r="M63" s="87">
        <f t="shared" si="1"/>
        <v>0</v>
      </c>
      <c r="N63" s="87">
        <f t="shared" si="2"/>
        <v>0</v>
      </c>
      <c r="O63" s="87">
        <f t="shared" si="3"/>
        <v>0</v>
      </c>
      <c r="P63" s="88">
        <f t="shared" si="4"/>
        <v>0</v>
      </c>
    </row>
    <row r="64" spans="1:23" ht="13.2" x14ac:dyDescent="0.2">
      <c r="A64" s="160">
        <v>17</v>
      </c>
      <c r="B64" s="157"/>
      <c r="C64" s="164" t="s">
        <v>226</v>
      </c>
      <c r="D64" s="157" t="s">
        <v>70</v>
      </c>
      <c r="E64" s="172">
        <f>E59</f>
        <v>4.9000000000000004</v>
      </c>
      <c r="F64" s="133"/>
      <c r="G64" s="134"/>
      <c r="H64" s="135"/>
      <c r="I64" s="134"/>
      <c r="J64" s="134"/>
      <c r="K64" s="134">
        <f t="shared" si="9"/>
        <v>0</v>
      </c>
      <c r="L64" s="105">
        <f t="shared" si="0"/>
        <v>0</v>
      </c>
      <c r="M64" s="87">
        <f t="shared" si="1"/>
        <v>0</v>
      </c>
      <c r="N64" s="87">
        <f t="shared" si="2"/>
        <v>0</v>
      </c>
      <c r="O64" s="87">
        <f t="shared" si="3"/>
        <v>0</v>
      </c>
      <c r="P64" s="88">
        <f t="shared" si="4"/>
        <v>0</v>
      </c>
    </row>
    <row r="65" spans="1:16" ht="26.4" x14ac:dyDescent="0.2">
      <c r="A65" s="165"/>
      <c r="B65" s="166"/>
      <c r="C65" s="167" t="s">
        <v>237</v>
      </c>
      <c r="D65" s="168"/>
      <c r="E65" s="169"/>
      <c r="F65" s="170"/>
      <c r="G65" s="171"/>
      <c r="H65" s="171"/>
      <c r="I65" s="171"/>
      <c r="J65" s="171"/>
      <c r="K65" s="171"/>
      <c r="L65" s="105"/>
      <c r="M65" s="87"/>
      <c r="N65" s="87"/>
      <c r="O65" s="87"/>
      <c r="P65" s="88"/>
    </row>
    <row r="66" spans="1:16" ht="39.6" x14ac:dyDescent="0.2">
      <c r="A66" s="160">
        <v>1</v>
      </c>
      <c r="B66" s="157" t="s">
        <v>56</v>
      </c>
      <c r="C66" s="163" t="s">
        <v>238</v>
      </c>
      <c r="D66" s="157" t="s">
        <v>70</v>
      </c>
      <c r="E66" s="172">
        <v>458.4</v>
      </c>
      <c r="F66" s="133"/>
      <c r="G66" s="134"/>
      <c r="H66" s="135">
        <f>ROUND(F66*G66,2)</f>
        <v>0</v>
      </c>
      <c r="I66" s="134"/>
      <c r="J66" s="134"/>
      <c r="K66" s="134">
        <f>ROUND(H66+J66+I66,2)</f>
        <v>0</v>
      </c>
      <c r="L66" s="105">
        <f t="shared" si="0"/>
        <v>0</v>
      </c>
      <c r="M66" s="87">
        <f t="shared" si="1"/>
        <v>0</v>
      </c>
      <c r="N66" s="87">
        <f t="shared" si="2"/>
        <v>0</v>
      </c>
      <c r="O66" s="87">
        <f t="shared" si="3"/>
        <v>0</v>
      </c>
      <c r="P66" s="88">
        <f t="shared" si="4"/>
        <v>0</v>
      </c>
    </row>
    <row r="67" spans="1:16" ht="13.2" x14ac:dyDescent="0.2">
      <c r="A67" s="160">
        <v>2</v>
      </c>
      <c r="B67" s="157"/>
      <c r="C67" s="164" t="s">
        <v>160</v>
      </c>
      <c r="D67" s="157" t="s">
        <v>157</v>
      </c>
      <c r="E67" s="162">
        <f>E66*0.12</f>
        <v>55.007999999999996</v>
      </c>
      <c r="F67" s="133"/>
      <c r="G67" s="134"/>
      <c r="H67" s="135"/>
      <c r="I67" s="134"/>
      <c r="J67" s="134"/>
      <c r="K67" s="134">
        <f t="shared" ref="K67:K88" si="12">ROUND(H67+J67+I67,2)</f>
        <v>0</v>
      </c>
      <c r="L67" s="105">
        <f t="shared" si="0"/>
        <v>0</v>
      </c>
      <c r="M67" s="87">
        <f t="shared" si="1"/>
        <v>0</v>
      </c>
      <c r="N67" s="87">
        <f t="shared" si="2"/>
        <v>0</v>
      </c>
      <c r="O67" s="87">
        <f t="shared" si="3"/>
        <v>0</v>
      </c>
      <c r="P67" s="88">
        <f t="shared" si="4"/>
        <v>0</v>
      </c>
    </row>
    <row r="68" spans="1:16" ht="26.4" x14ac:dyDescent="0.2">
      <c r="A68" s="160">
        <v>3</v>
      </c>
      <c r="B68" s="157"/>
      <c r="C68" s="164" t="s">
        <v>161</v>
      </c>
      <c r="D68" s="157" t="s">
        <v>162</v>
      </c>
      <c r="E68" s="173">
        <f>E66*5</f>
        <v>2292</v>
      </c>
      <c r="F68" s="133"/>
      <c r="G68" s="134"/>
      <c r="H68" s="135"/>
      <c r="I68" s="134"/>
      <c r="J68" s="134"/>
      <c r="K68" s="134">
        <f t="shared" si="12"/>
        <v>0</v>
      </c>
      <c r="L68" s="105">
        <f t="shared" si="0"/>
        <v>0</v>
      </c>
      <c r="M68" s="87">
        <f t="shared" si="1"/>
        <v>0</v>
      </c>
      <c r="N68" s="87">
        <f t="shared" si="2"/>
        <v>0</v>
      </c>
      <c r="O68" s="87">
        <f t="shared" si="3"/>
        <v>0</v>
      </c>
      <c r="P68" s="88">
        <f t="shared" si="4"/>
        <v>0</v>
      </c>
    </row>
    <row r="69" spans="1:16" ht="13.2" x14ac:dyDescent="0.2">
      <c r="A69" s="160">
        <v>4</v>
      </c>
      <c r="B69" s="157" t="s">
        <v>56</v>
      </c>
      <c r="C69" s="163" t="s">
        <v>239</v>
      </c>
      <c r="D69" s="157" t="s">
        <v>70</v>
      </c>
      <c r="E69" s="162">
        <v>916.7</v>
      </c>
      <c r="F69" s="133"/>
      <c r="G69" s="134"/>
      <c r="H69" s="135">
        <f t="shared" ref="H69:H86" si="13">ROUND(F69*G69,2)</f>
        <v>0</v>
      </c>
      <c r="I69" s="134"/>
      <c r="J69" s="134"/>
      <c r="K69" s="134">
        <f>ROUND(H69+J69+I69,2)</f>
        <v>0</v>
      </c>
      <c r="L69" s="105">
        <f t="shared" si="0"/>
        <v>0</v>
      </c>
      <c r="M69" s="87">
        <f t="shared" si="1"/>
        <v>0</v>
      </c>
      <c r="N69" s="87">
        <f t="shared" si="2"/>
        <v>0</v>
      </c>
      <c r="O69" s="87">
        <f t="shared" si="3"/>
        <v>0</v>
      </c>
      <c r="P69" s="88">
        <f t="shared" si="4"/>
        <v>0</v>
      </c>
    </row>
    <row r="70" spans="1:16" ht="13.2" x14ac:dyDescent="0.2">
      <c r="A70" s="160">
        <v>5</v>
      </c>
      <c r="B70" s="157"/>
      <c r="C70" s="164" t="s">
        <v>160</v>
      </c>
      <c r="D70" s="157" t="s">
        <v>157</v>
      </c>
      <c r="E70" s="162">
        <f>E69*0.12</f>
        <v>110.004</v>
      </c>
      <c r="F70" s="133"/>
      <c r="G70" s="134"/>
      <c r="H70" s="135"/>
      <c r="I70" s="134"/>
      <c r="J70" s="134"/>
      <c r="K70" s="134">
        <f t="shared" ref="K70:K73" si="14">ROUND(H70+J70+I70,2)</f>
        <v>0</v>
      </c>
      <c r="L70" s="105">
        <f t="shared" si="0"/>
        <v>0</v>
      </c>
      <c r="M70" s="87">
        <f t="shared" si="1"/>
        <v>0</v>
      </c>
      <c r="N70" s="87">
        <f t="shared" si="2"/>
        <v>0</v>
      </c>
      <c r="O70" s="87">
        <f t="shared" si="3"/>
        <v>0</v>
      </c>
      <c r="P70" s="88">
        <f t="shared" si="4"/>
        <v>0</v>
      </c>
    </row>
    <row r="71" spans="1:16" ht="13.2" x14ac:dyDescent="0.2">
      <c r="A71" s="160">
        <v>6</v>
      </c>
      <c r="B71" s="157"/>
      <c r="C71" s="164" t="s">
        <v>174</v>
      </c>
      <c r="D71" s="157" t="s">
        <v>165</v>
      </c>
      <c r="E71" s="173">
        <f>E69*5</f>
        <v>4583.5</v>
      </c>
      <c r="F71" s="133"/>
      <c r="G71" s="134"/>
      <c r="H71" s="135"/>
      <c r="I71" s="134"/>
      <c r="J71" s="134"/>
      <c r="K71" s="134">
        <f t="shared" si="14"/>
        <v>0</v>
      </c>
      <c r="L71" s="105">
        <f t="shared" si="0"/>
        <v>0</v>
      </c>
      <c r="M71" s="87">
        <f t="shared" si="1"/>
        <v>0</v>
      </c>
      <c r="N71" s="87">
        <f t="shared" si="2"/>
        <v>0</v>
      </c>
      <c r="O71" s="87">
        <f t="shared" si="3"/>
        <v>0</v>
      </c>
      <c r="P71" s="88">
        <f t="shared" si="4"/>
        <v>0</v>
      </c>
    </row>
    <row r="72" spans="1:16" ht="13.2" x14ac:dyDescent="0.2">
      <c r="A72" s="160">
        <v>7</v>
      </c>
      <c r="B72" s="157"/>
      <c r="C72" s="164" t="s">
        <v>240</v>
      </c>
      <c r="D72" s="157" t="s">
        <v>62</v>
      </c>
      <c r="E72" s="173">
        <f>ROUND(E69*8.15,0)</f>
        <v>7471</v>
      </c>
      <c r="F72" s="133"/>
      <c r="G72" s="134"/>
      <c r="H72" s="135"/>
      <c r="I72" s="134"/>
      <c r="J72" s="134"/>
      <c r="K72" s="134">
        <f t="shared" si="14"/>
        <v>0</v>
      </c>
      <c r="L72" s="105">
        <f t="shared" si="0"/>
        <v>0</v>
      </c>
      <c r="M72" s="87">
        <f t="shared" si="1"/>
        <v>0</v>
      </c>
      <c r="N72" s="87">
        <f t="shared" si="2"/>
        <v>0</v>
      </c>
      <c r="O72" s="87">
        <f t="shared" si="3"/>
        <v>0</v>
      </c>
      <c r="P72" s="88">
        <f t="shared" si="4"/>
        <v>0</v>
      </c>
    </row>
    <row r="73" spans="1:16" ht="13.2" x14ac:dyDescent="0.2">
      <c r="A73" s="160">
        <v>8</v>
      </c>
      <c r="B73" s="157"/>
      <c r="C73" s="164" t="s">
        <v>241</v>
      </c>
      <c r="D73" s="157" t="s">
        <v>62</v>
      </c>
      <c r="E73" s="162">
        <f>E72</f>
        <v>7471</v>
      </c>
      <c r="F73" s="133"/>
      <c r="G73" s="134"/>
      <c r="H73" s="135"/>
      <c r="I73" s="134"/>
      <c r="J73" s="134"/>
      <c r="K73" s="134">
        <f t="shared" si="14"/>
        <v>0</v>
      </c>
      <c r="L73" s="105">
        <f t="shared" si="0"/>
        <v>0</v>
      </c>
      <c r="M73" s="87">
        <f t="shared" si="1"/>
        <v>0</v>
      </c>
      <c r="N73" s="87">
        <f t="shared" si="2"/>
        <v>0</v>
      </c>
      <c r="O73" s="87">
        <f t="shared" si="3"/>
        <v>0</v>
      </c>
      <c r="P73" s="88">
        <f t="shared" si="4"/>
        <v>0</v>
      </c>
    </row>
    <row r="74" spans="1:16" ht="39.6" x14ac:dyDescent="0.2">
      <c r="A74" s="160">
        <v>9</v>
      </c>
      <c r="B74" s="157"/>
      <c r="C74" s="164" t="s">
        <v>242</v>
      </c>
      <c r="D74" s="157" t="s">
        <v>70</v>
      </c>
      <c r="E74" s="162">
        <f>E69*1.05</f>
        <v>962.53500000000008</v>
      </c>
      <c r="F74" s="133"/>
      <c r="G74" s="134"/>
      <c r="H74" s="135"/>
      <c r="I74" s="134"/>
      <c r="J74" s="134"/>
      <c r="K74" s="134">
        <f t="shared" si="12"/>
        <v>0</v>
      </c>
      <c r="L74" s="105">
        <f t="shared" si="0"/>
        <v>0</v>
      </c>
      <c r="M74" s="87">
        <f t="shared" si="1"/>
        <v>0</v>
      </c>
      <c r="N74" s="87">
        <f t="shared" si="2"/>
        <v>0</v>
      </c>
      <c r="O74" s="87">
        <f t="shared" si="3"/>
        <v>0</v>
      </c>
      <c r="P74" s="88">
        <f t="shared" si="4"/>
        <v>0</v>
      </c>
    </row>
    <row r="75" spans="1:16" ht="26.4" x14ac:dyDescent="0.2">
      <c r="A75" s="160">
        <v>10</v>
      </c>
      <c r="B75" s="157"/>
      <c r="C75" s="164" t="s">
        <v>243</v>
      </c>
      <c r="D75" s="157" t="s">
        <v>58</v>
      </c>
      <c r="E75" s="162">
        <f>110.3*1.05</f>
        <v>115.815</v>
      </c>
      <c r="F75" s="133"/>
      <c r="G75" s="134"/>
      <c r="H75" s="135"/>
      <c r="I75" s="134"/>
      <c r="J75" s="134"/>
      <c r="K75" s="134">
        <f t="shared" si="12"/>
        <v>0</v>
      </c>
      <c r="L75" s="105">
        <f t="shared" si="0"/>
        <v>0</v>
      </c>
      <c r="M75" s="87">
        <f t="shared" si="1"/>
        <v>0</v>
      </c>
      <c r="N75" s="87">
        <f t="shared" si="2"/>
        <v>0</v>
      </c>
      <c r="O75" s="87">
        <f t="shared" si="3"/>
        <v>0</v>
      </c>
      <c r="P75" s="88">
        <f t="shared" si="4"/>
        <v>0</v>
      </c>
    </row>
    <row r="76" spans="1:16" ht="13.2" x14ac:dyDescent="0.2">
      <c r="A76" s="160">
        <v>11</v>
      </c>
      <c r="B76" s="157" t="s">
        <v>56</v>
      </c>
      <c r="C76" s="163" t="s">
        <v>177</v>
      </c>
      <c r="D76" s="157" t="s">
        <v>70</v>
      </c>
      <c r="E76" s="162">
        <f>E69</f>
        <v>916.7</v>
      </c>
      <c r="F76" s="133"/>
      <c r="G76" s="134"/>
      <c r="H76" s="135">
        <f t="shared" si="13"/>
        <v>0</v>
      </c>
      <c r="I76" s="134"/>
      <c r="J76" s="134"/>
      <c r="K76" s="134">
        <f t="shared" si="12"/>
        <v>0</v>
      </c>
      <c r="L76" s="105">
        <f t="shared" si="0"/>
        <v>0</v>
      </c>
      <c r="M76" s="87">
        <f t="shared" si="1"/>
        <v>0</v>
      </c>
      <c r="N76" s="87">
        <f t="shared" si="2"/>
        <v>0</v>
      </c>
      <c r="O76" s="87">
        <f t="shared" si="3"/>
        <v>0</v>
      </c>
      <c r="P76" s="88">
        <f t="shared" si="4"/>
        <v>0</v>
      </c>
    </row>
    <row r="77" spans="1:16" ht="13.2" x14ac:dyDescent="0.2">
      <c r="A77" s="160">
        <v>12</v>
      </c>
      <c r="B77" s="157"/>
      <c r="C77" s="164" t="s">
        <v>160</v>
      </c>
      <c r="D77" s="157" t="s">
        <v>157</v>
      </c>
      <c r="E77" s="162">
        <f>E76*0.12</f>
        <v>110.004</v>
      </c>
      <c r="F77" s="133"/>
      <c r="G77" s="134"/>
      <c r="H77" s="135"/>
      <c r="I77" s="134"/>
      <c r="J77" s="134"/>
      <c r="K77" s="134">
        <f t="shared" si="12"/>
        <v>0</v>
      </c>
      <c r="L77" s="105">
        <f t="shared" si="0"/>
        <v>0</v>
      </c>
      <c r="M77" s="87">
        <f t="shared" si="1"/>
        <v>0</v>
      </c>
      <c r="N77" s="87">
        <f t="shared" si="2"/>
        <v>0</v>
      </c>
      <c r="O77" s="87">
        <f t="shared" si="3"/>
        <v>0</v>
      </c>
      <c r="P77" s="88">
        <f t="shared" si="4"/>
        <v>0</v>
      </c>
    </row>
    <row r="78" spans="1:16" ht="13.2" x14ac:dyDescent="0.2">
      <c r="A78" s="160">
        <v>13</v>
      </c>
      <c r="B78" s="157"/>
      <c r="C78" s="164" t="s">
        <v>178</v>
      </c>
      <c r="D78" s="157" t="s">
        <v>165</v>
      </c>
      <c r="E78" s="173">
        <f>E76*4.5</f>
        <v>4125.1500000000005</v>
      </c>
      <c r="F78" s="133"/>
      <c r="G78" s="134"/>
      <c r="H78" s="135"/>
      <c r="I78" s="134"/>
      <c r="J78" s="134"/>
      <c r="K78" s="134">
        <f t="shared" si="12"/>
        <v>0</v>
      </c>
      <c r="L78" s="105">
        <f t="shared" si="0"/>
        <v>0</v>
      </c>
      <c r="M78" s="87">
        <f t="shared" si="1"/>
        <v>0</v>
      </c>
      <c r="N78" s="87">
        <f t="shared" si="2"/>
        <v>0</v>
      </c>
      <c r="O78" s="87">
        <f t="shared" si="3"/>
        <v>0</v>
      </c>
      <c r="P78" s="88">
        <f t="shared" si="4"/>
        <v>0</v>
      </c>
    </row>
    <row r="79" spans="1:16" ht="13.2" x14ac:dyDescent="0.2">
      <c r="A79" s="160">
        <v>14</v>
      </c>
      <c r="B79" s="157"/>
      <c r="C79" s="164" t="s">
        <v>170</v>
      </c>
      <c r="D79" s="157" t="s">
        <v>70</v>
      </c>
      <c r="E79" s="162">
        <f>E76*1.2</f>
        <v>1100.04</v>
      </c>
      <c r="F79" s="133"/>
      <c r="G79" s="134"/>
      <c r="H79" s="135"/>
      <c r="I79" s="134"/>
      <c r="J79" s="134"/>
      <c r="K79" s="134">
        <f t="shared" si="12"/>
        <v>0</v>
      </c>
      <c r="L79" s="105">
        <f t="shared" si="0"/>
        <v>0</v>
      </c>
      <c r="M79" s="87">
        <f t="shared" si="1"/>
        <v>0</v>
      </c>
      <c r="N79" s="87">
        <f t="shared" si="2"/>
        <v>0</v>
      </c>
      <c r="O79" s="87">
        <f t="shared" si="3"/>
        <v>0</v>
      </c>
      <c r="P79" s="88">
        <f t="shared" si="4"/>
        <v>0</v>
      </c>
    </row>
    <row r="80" spans="1:16" ht="13.2" x14ac:dyDescent="0.2">
      <c r="A80" s="160">
        <v>15</v>
      </c>
      <c r="B80" s="157"/>
      <c r="C80" s="164" t="s">
        <v>244</v>
      </c>
      <c r="D80" s="157" t="s">
        <v>58</v>
      </c>
      <c r="E80" s="162">
        <f>50.3*1.1</f>
        <v>55.33</v>
      </c>
      <c r="F80" s="133"/>
      <c r="G80" s="134"/>
      <c r="H80" s="135"/>
      <c r="I80" s="134"/>
      <c r="J80" s="134"/>
      <c r="K80" s="134">
        <f t="shared" si="12"/>
        <v>0</v>
      </c>
      <c r="L80" s="105">
        <f t="shared" ref="L80:L143" si="15">ROUND(E80*F80,2)</f>
        <v>0</v>
      </c>
      <c r="M80" s="87">
        <f t="shared" ref="M80:M143" si="16">ROUND(E80*H80,2)</f>
        <v>0</v>
      </c>
      <c r="N80" s="87">
        <f t="shared" ref="N80:N143" si="17">ROUND(E80*I80,2)</f>
        <v>0</v>
      </c>
      <c r="O80" s="87">
        <f t="shared" ref="O80:O143" si="18">ROUND(E80*J80,2)</f>
        <v>0</v>
      </c>
      <c r="P80" s="88">
        <f t="shared" ref="P80:P143" si="19">ROUND(O80+N80+M80,2)</f>
        <v>0</v>
      </c>
    </row>
    <row r="81" spans="1:16" ht="26.4" x14ac:dyDescent="0.2">
      <c r="A81" s="160">
        <v>16</v>
      </c>
      <c r="B81" s="157"/>
      <c r="C81" s="164" t="s">
        <v>245</v>
      </c>
      <c r="D81" s="157" t="s">
        <v>58</v>
      </c>
      <c r="E81" s="162">
        <f>15*1.1</f>
        <v>16.5</v>
      </c>
      <c r="F81" s="133"/>
      <c r="G81" s="134"/>
      <c r="H81" s="135"/>
      <c r="I81" s="134"/>
      <c r="J81" s="134"/>
      <c r="K81" s="134">
        <f t="shared" si="12"/>
        <v>0</v>
      </c>
      <c r="L81" s="105">
        <f t="shared" si="15"/>
        <v>0</v>
      </c>
      <c r="M81" s="87">
        <f t="shared" si="16"/>
        <v>0</v>
      </c>
      <c r="N81" s="87">
        <f t="shared" si="17"/>
        <v>0</v>
      </c>
      <c r="O81" s="87">
        <f t="shared" si="18"/>
        <v>0</v>
      </c>
      <c r="P81" s="88">
        <f t="shared" si="19"/>
        <v>0</v>
      </c>
    </row>
    <row r="82" spans="1:16" ht="13.2" x14ac:dyDescent="0.2">
      <c r="A82" s="160">
        <v>17</v>
      </c>
      <c r="B82" s="157" t="s">
        <v>56</v>
      </c>
      <c r="C82" s="163" t="s">
        <v>246</v>
      </c>
      <c r="D82" s="157" t="s">
        <v>70</v>
      </c>
      <c r="E82" s="162">
        <v>5.5</v>
      </c>
      <c r="F82" s="133"/>
      <c r="G82" s="134"/>
      <c r="H82" s="135">
        <f t="shared" si="13"/>
        <v>0</v>
      </c>
      <c r="I82" s="134"/>
      <c r="J82" s="134"/>
      <c r="K82" s="134">
        <f t="shared" si="12"/>
        <v>0</v>
      </c>
      <c r="L82" s="105">
        <f t="shared" si="15"/>
        <v>0</v>
      </c>
      <c r="M82" s="87">
        <f t="shared" si="16"/>
        <v>0</v>
      </c>
      <c r="N82" s="87">
        <f t="shared" si="17"/>
        <v>0</v>
      </c>
      <c r="O82" s="87">
        <f t="shared" si="18"/>
        <v>0</v>
      </c>
      <c r="P82" s="88">
        <f t="shared" si="19"/>
        <v>0</v>
      </c>
    </row>
    <row r="83" spans="1:16" ht="13.2" x14ac:dyDescent="0.2">
      <c r="A83" s="160">
        <v>18</v>
      </c>
      <c r="B83" s="157"/>
      <c r="C83" s="164" t="s">
        <v>247</v>
      </c>
      <c r="D83" s="157" t="s">
        <v>157</v>
      </c>
      <c r="E83" s="162">
        <f>E82*0.12</f>
        <v>0.65999999999999992</v>
      </c>
      <c r="F83" s="133"/>
      <c r="G83" s="134"/>
      <c r="H83" s="135"/>
      <c r="I83" s="134"/>
      <c r="J83" s="134"/>
      <c r="K83" s="134">
        <f t="shared" si="12"/>
        <v>0</v>
      </c>
      <c r="L83" s="105">
        <f t="shared" si="15"/>
        <v>0</v>
      </c>
      <c r="M83" s="87">
        <f t="shared" si="16"/>
        <v>0</v>
      </c>
      <c r="N83" s="87">
        <f t="shared" si="17"/>
        <v>0</v>
      </c>
      <c r="O83" s="87">
        <f t="shared" si="18"/>
        <v>0</v>
      </c>
      <c r="P83" s="88">
        <f t="shared" si="19"/>
        <v>0</v>
      </c>
    </row>
    <row r="84" spans="1:16" ht="13.2" x14ac:dyDescent="0.2">
      <c r="A84" s="160">
        <v>19</v>
      </c>
      <c r="B84" s="157"/>
      <c r="C84" s="164" t="s">
        <v>178</v>
      </c>
      <c r="D84" s="157" t="s">
        <v>165</v>
      </c>
      <c r="E84" s="162">
        <f>E82*4.5*1.5</f>
        <v>37.125</v>
      </c>
      <c r="F84" s="133"/>
      <c r="G84" s="134"/>
      <c r="H84" s="135"/>
      <c r="I84" s="134"/>
      <c r="J84" s="134"/>
      <c r="K84" s="134">
        <f t="shared" si="12"/>
        <v>0</v>
      </c>
      <c r="L84" s="105">
        <f t="shared" si="15"/>
        <v>0</v>
      </c>
      <c r="M84" s="87">
        <f t="shared" si="16"/>
        <v>0</v>
      </c>
      <c r="N84" s="87">
        <f t="shared" si="17"/>
        <v>0</v>
      </c>
      <c r="O84" s="87">
        <f t="shared" si="18"/>
        <v>0</v>
      </c>
      <c r="P84" s="88">
        <f t="shared" si="19"/>
        <v>0</v>
      </c>
    </row>
    <row r="85" spans="1:16" ht="13.2" x14ac:dyDescent="0.2">
      <c r="A85" s="160">
        <v>20</v>
      </c>
      <c r="B85" s="157"/>
      <c r="C85" s="164" t="s">
        <v>170</v>
      </c>
      <c r="D85" s="157" t="s">
        <v>70</v>
      </c>
      <c r="E85" s="162">
        <f>E82*1.2*2</f>
        <v>13.2</v>
      </c>
      <c r="F85" s="133"/>
      <c r="G85" s="134"/>
      <c r="H85" s="135"/>
      <c r="I85" s="134"/>
      <c r="J85" s="134"/>
      <c r="K85" s="134">
        <f t="shared" si="12"/>
        <v>0</v>
      </c>
      <c r="L85" s="105">
        <f t="shared" si="15"/>
        <v>0</v>
      </c>
      <c r="M85" s="87">
        <f t="shared" si="16"/>
        <v>0</v>
      </c>
      <c r="N85" s="87">
        <f t="shared" si="17"/>
        <v>0</v>
      </c>
      <c r="O85" s="87">
        <f t="shared" si="18"/>
        <v>0</v>
      </c>
      <c r="P85" s="88">
        <f t="shared" si="19"/>
        <v>0</v>
      </c>
    </row>
    <row r="86" spans="1:16" ht="13.2" x14ac:dyDescent="0.2">
      <c r="A86" s="160">
        <v>21</v>
      </c>
      <c r="B86" s="157" t="s">
        <v>56</v>
      </c>
      <c r="C86" s="163" t="s">
        <v>248</v>
      </c>
      <c r="D86" s="157" t="s">
        <v>70</v>
      </c>
      <c r="E86" s="162">
        <f>E76</f>
        <v>916.7</v>
      </c>
      <c r="F86" s="133"/>
      <c r="G86" s="134"/>
      <c r="H86" s="135">
        <f t="shared" si="13"/>
        <v>0</v>
      </c>
      <c r="I86" s="134"/>
      <c r="J86" s="134"/>
      <c r="K86" s="134">
        <f t="shared" si="12"/>
        <v>0</v>
      </c>
      <c r="L86" s="105">
        <f t="shared" si="15"/>
        <v>0</v>
      </c>
      <c r="M86" s="87">
        <f t="shared" si="16"/>
        <v>0</v>
      </c>
      <c r="N86" s="87">
        <f t="shared" si="17"/>
        <v>0</v>
      </c>
      <c r="O86" s="87">
        <f t="shared" si="18"/>
        <v>0</v>
      </c>
      <c r="P86" s="88">
        <f t="shared" si="19"/>
        <v>0</v>
      </c>
    </row>
    <row r="87" spans="1:16" ht="26.4" x14ac:dyDescent="0.2">
      <c r="A87" s="160">
        <v>22</v>
      </c>
      <c r="B87" s="157"/>
      <c r="C87" s="164" t="s">
        <v>249</v>
      </c>
      <c r="D87" s="157" t="s">
        <v>157</v>
      </c>
      <c r="E87" s="162">
        <f>E86*0.15</f>
        <v>137.505</v>
      </c>
      <c r="F87" s="133"/>
      <c r="G87" s="134"/>
      <c r="H87" s="135"/>
      <c r="I87" s="134"/>
      <c r="J87" s="134"/>
      <c r="K87" s="134">
        <f t="shared" si="12"/>
        <v>0</v>
      </c>
      <c r="L87" s="105">
        <f t="shared" si="15"/>
        <v>0</v>
      </c>
      <c r="M87" s="87">
        <f t="shared" si="16"/>
        <v>0</v>
      </c>
      <c r="N87" s="87">
        <f t="shared" si="17"/>
        <v>0</v>
      </c>
      <c r="O87" s="87">
        <f t="shared" si="18"/>
        <v>0</v>
      </c>
      <c r="P87" s="88">
        <f t="shared" si="19"/>
        <v>0</v>
      </c>
    </row>
    <row r="88" spans="1:16" ht="26.4" x14ac:dyDescent="0.2">
      <c r="A88" s="160">
        <v>23</v>
      </c>
      <c r="B88" s="157"/>
      <c r="C88" s="164" t="s">
        <v>250</v>
      </c>
      <c r="D88" s="157" t="s">
        <v>165</v>
      </c>
      <c r="E88" s="162">
        <f>E86*3.5</f>
        <v>3208.4500000000003</v>
      </c>
      <c r="F88" s="133"/>
      <c r="G88" s="134"/>
      <c r="H88" s="135"/>
      <c r="I88" s="134"/>
      <c r="J88" s="134"/>
      <c r="K88" s="134">
        <f t="shared" si="12"/>
        <v>0</v>
      </c>
      <c r="L88" s="105">
        <f t="shared" si="15"/>
        <v>0</v>
      </c>
      <c r="M88" s="87">
        <f t="shared" si="16"/>
        <v>0</v>
      </c>
      <c r="N88" s="87">
        <f t="shared" si="17"/>
        <v>0</v>
      </c>
      <c r="O88" s="87">
        <f t="shared" si="18"/>
        <v>0</v>
      </c>
      <c r="P88" s="88">
        <f t="shared" si="19"/>
        <v>0</v>
      </c>
    </row>
    <row r="89" spans="1:16" ht="26.4" x14ac:dyDescent="0.2">
      <c r="A89" s="165"/>
      <c r="B89" s="166"/>
      <c r="C89" s="167" t="s">
        <v>251</v>
      </c>
      <c r="D89" s="168"/>
      <c r="E89" s="169"/>
      <c r="F89" s="170"/>
      <c r="G89" s="171"/>
      <c r="H89" s="171"/>
      <c r="I89" s="171"/>
      <c r="J89" s="171"/>
      <c r="K89" s="171"/>
      <c r="L89" s="105"/>
      <c r="M89" s="87"/>
      <c r="N89" s="87"/>
      <c r="O89" s="87"/>
      <c r="P89" s="88"/>
    </row>
    <row r="90" spans="1:16" ht="39.6" x14ac:dyDescent="0.2">
      <c r="A90" s="160">
        <v>1</v>
      </c>
      <c r="B90" s="157" t="s">
        <v>56</v>
      </c>
      <c r="C90" s="163" t="s">
        <v>238</v>
      </c>
      <c r="D90" s="157" t="s">
        <v>70</v>
      </c>
      <c r="E90" s="172">
        <v>145.30000000000001</v>
      </c>
      <c r="F90" s="133"/>
      <c r="G90" s="134"/>
      <c r="H90" s="135">
        <f>ROUND(F90*G90,2)</f>
        <v>0</v>
      </c>
      <c r="I90" s="134"/>
      <c r="J90" s="134"/>
      <c r="K90" s="134">
        <f>ROUND(H90+J90+I90,2)</f>
        <v>0</v>
      </c>
      <c r="L90" s="105">
        <f t="shared" si="15"/>
        <v>0</v>
      </c>
      <c r="M90" s="87">
        <f t="shared" si="16"/>
        <v>0</v>
      </c>
      <c r="N90" s="87">
        <f t="shared" si="17"/>
        <v>0</v>
      </c>
      <c r="O90" s="87">
        <f t="shared" si="18"/>
        <v>0</v>
      </c>
      <c r="P90" s="88">
        <f t="shared" si="19"/>
        <v>0</v>
      </c>
    </row>
    <row r="91" spans="1:16" ht="13.2" x14ac:dyDescent="0.2">
      <c r="A91" s="160">
        <v>2</v>
      </c>
      <c r="B91" s="157"/>
      <c r="C91" s="164" t="s">
        <v>160</v>
      </c>
      <c r="D91" s="157" t="s">
        <v>157</v>
      </c>
      <c r="E91" s="162">
        <f>E90*0.12</f>
        <v>17.436</v>
      </c>
      <c r="F91" s="133"/>
      <c r="G91" s="134"/>
      <c r="H91" s="135"/>
      <c r="I91" s="134"/>
      <c r="J91" s="134"/>
      <c r="K91" s="134">
        <f t="shared" ref="K91:K92" si="20">ROUND(H91+J91+I91,2)</f>
        <v>0</v>
      </c>
      <c r="L91" s="105">
        <f t="shared" si="15"/>
        <v>0</v>
      </c>
      <c r="M91" s="87">
        <f t="shared" si="16"/>
        <v>0</v>
      </c>
      <c r="N91" s="87">
        <f t="shared" si="17"/>
        <v>0</v>
      </c>
      <c r="O91" s="87">
        <f t="shared" si="18"/>
        <v>0</v>
      </c>
      <c r="P91" s="88">
        <f t="shared" si="19"/>
        <v>0</v>
      </c>
    </row>
    <row r="92" spans="1:16" ht="26.4" x14ac:dyDescent="0.2">
      <c r="A92" s="160">
        <v>3</v>
      </c>
      <c r="B92" s="157"/>
      <c r="C92" s="164" t="s">
        <v>161</v>
      </c>
      <c r="D92" s="157" t="s">
        <v>162</v>
      </c>
      <c r="E92" s="173">
        <f>E90*5</f>
        <v>726.5</v>
      </c>
      <c r="F92" s="133"/>
      <c r="G92" s="134"/>
      <c r="H92" s="135"/>
      <c r="I92" s="134"/>
      <c r="J92" s="134"/>
      <c r="K92" s="134">
        <f t="shared" si="20"/>
        <v>0</v>
      </c>
      <c r="L92" s="105">
        <f t="shared" si="15"/>
        <v>0</v>
      </c>
      <c r="M92" s="87">
        <f t="shared" si="16"/>
        <v>0</v>
      </c>
      <c r="N92" s="87">
        <f t="shared" si="17"/>
        <v>0</v>
      </c>
      <c r="O92" s="87">
        <f t="shared" si="18"/>
        <v>0</v>
      </c>
      <c r="P92" s="88">
        <f t="shared" si="19"/>
        <v>0</v>
      </c>
    </row>
    <row r="93" spans="1:16" ht="13.2" x14ac:dyDescent="0.2">
      <c r="A93" s="160">
        <v>4</v>
      </c>
      <c r="B93" s="157" t="s">
        <v>56</v>
      </c>
      <c r="C93" s="163" t="s">
        <v>239</v>
      </c>
      <c r="D93" s="157" t="s">
        <v>70</v>
      </c>
      <c r="E93" s="162">
        <v>290.60000000000002</v>
      </c>
      <c r="F93" s="133"/>
      <c r="G93" s="134"/>
      <c r="H93" s="135">
        <f t="shared" ref="H93" si="21">ROUND(F93*G93,2)</f>
        <v>0</v>
      </c>
      <c r="I93" s="134"/>
      <c r="J93" s="134"/>
      <c r="K93" s="134">
        <f>ROUND(H93+J93+I93,2)</f>
        <v>0</v>
      </c>
      <c r="L93" s="105">
        <f t="shared" si="15"/>
        <v>0</v>
      </c>
      <c r="M93" s="87">
        <f t="shared" si="16"/>
        <v>0</v>
      </c>
      <c r="N93" s="87">
        <f t="shared" si="17"/>
        <v>0</v>
      </c>
      <c r="O93" s="87">
        <f t="shared" si="18"/>
        <v>0</v>
      </c>
      <c r="P93" s="88">
        <f t="shared" si="19"/>
        <v>0</v>
      </c>
    </row>
    <row r="94" spans="1:16" ht="13.2" x14ac:dyDescent="0.2">
      <c r="A94" s="160">
        <v>5</v>
      </c>
      <c r="B94" s="157"/>
      <c r="C94" s="164" t="s">
        <v>160</v>
      </c>
      <c r="D94" s="157" t="s">
        <v>157</v>
      </c>
      <c r="E94" s="162">
        <f>E93*0.12</f>
        <v>34.872</v>
      </c>
      <c r="F94" s="133"/>
      <c r="G94" s="134"/>
      <c r="H94" s="135"/>
      <c r="I94" s="134"/>
      <c r="J94" s="134"/>
      <c r="K94" s="134">
        <f t="shared" ref="K94:K110" si="22">ROUND(H94+J94+I94,2)</f>
        <v>0</v>
      </c>
      <c r="L94" s="105">
        <f t="shared" si="15"/>
        <v>0</v>
      </c>
      <c r="M94" s="87">
        <f t="shared" si="16"/>
        <v>0</v>
      </c>
      <c r="N94" s="87">
        <f t="shared" si="17"/>
        <v>0</v>
      </c>
      <c r="O94" s="87">
        <f t="shared" si="18"/>
        <v>0</v>
      </c>
      <c r="P94" s="88">
        <f t="shared" si="19"/>
        <v>0</v>
      </c>
    </row>
    <row r="95" spans="1:16" ht="13.2" x14ac:dyDescent="0.2">
      <c r="A95" s="160">
        <v>6</v>
      </c>
      <c r="B95" s="157"/>
      <c r="C95" s="164" t="s">
        <v>174</v>
      </c>
      <c r="D95" s="157" t="s">
        <v>165</v>
      </c>
      <c r="E95" s="173">
        <f>E93*5</f>
        <v>1453</v>
      </c>
      <c r="F95" s="133"/>
      <c r="G95" s="134"/>
      <c r="H95" s="135"/>
      <c r="I95" s="134"/>
      <c r="J95" s="134"/>
      <c r="K95" s="134">
        <f t="shared" si="22"/>
        <v>0</v>
      </c>
      <c r="L95" s="105">
        <f t="shared" si="15"/>
        <v>0</v>
      </c>
      <c r="M95" s="87">
        <f t="shared" si="16"/>
        <v>0</v>
      </c>
      <c r="N95" s="87">
        <f t="shared" si="17"/>
        <v>0</v>
      </c>
      <c r="O95" s="87">
        <f t="shared" si="18"/>
        <v>0</v>
      </c>
      <c r="P95" s="88">
        <f t="shared" si="19"/>
        <v>0</v>
      </c>
    </row>
    <row r="96" spans="1:16" ht="13.2" x14ac:dyDescent="0.2">
      <c r="A96" s="160">
        <v>7</v>
      </c>
      <c r="B96" s="157"/>
      <c r="C96" s="164" t="s">
        <v>240</v>
      </c>
      <c r="D96" s="157" t="s">
        <v>62</v>
      </c>
      <c r="E96" s="173">
        <f>ROUND(E93*8.15,0)</f>
        <v>2368</v>
      </c>
      <c r="F96" s="133"/>
      <c r="G96" s="134"/>
      <c r="H96" s="135"/>
      <c r="I96" s="134"/>
      <c r="J96" s="134"/>
      <c r="K96" s="134">
        <f t="shared" si="22"/>
        <v>0</v>
      </c>
      <c r="L96" s="105">
        <f t="shared" si="15"/>
        <v>0</v>
      </c>
      <c r="M96" s="87">
        <f t="shared" si="16"/>
        <v>0</v>
      </c>
      <c r="N96" s="87">
        <f t="shared" si="17"/>
        <v>0</v>
      </c>
      <c r="O96" s="87">
        <f t="shared" si="18"/>
        <v>0</v>
      </c>
      <c r="P96" s="88">
        <f t="shared" si="19"/>
        <v>0</v>
      </c>
    </row>
    <row r="97" spans="1:16" ht="13.2" x14ac:dyDescent="0.2">
      <c r="A97" s="160">
        <v>8</v>
      </c>
      <c r="B97" s="157"/>
      <c r="C97" s="164" t="s">
        <v>241</v>
      </c>
      <c r="D97" s="157" t="s">
        <v>62</v>
      </c>
      <c r="E97" s="162">
        <f>E96</f>
        <v>2368</v>
      </c>
      <c r="F97" s="133"/>
      <c r="G97" s="134"/>
      <c r="H97" s="135"/>
      <c r="I97" s="134"/>
      <c r="J97" s="134"/>
      <c r="K97" s="134">
        <f t="shared" si="22"/>
        <v>0</v>
      </c>
      <c r="L97" s="105">
        <f t="shared" si="15"/>
        <v>0</v>
      </c>
      <c r="M97" s="87">
        <f t="shared" si="16"/>
        <v>0</v>
      </c>
      <c r="N97" s="87">
        <f t="shared" si="17"/>
        <v>0</v>
      </c>
      <c r="O97" s="87">
        <f t="shared" si="18"/>
        <v>0</v>
      </c>
      <c r="P97" s="88">
        <f t="shared" si="19"/>
        <v>0</v>
      </c>
    </row>
    <row r="98" spans="1:16" ht="39.6" x14ac:dyDescent="0.2">
      <c r="A98" s="160">
        <v>9</v>
      </c>
      <c r="B98" s="157"/>
      <c r="C98" s="164" t="s">
        <v>242</v>
      </c>
      <c r="D98" s="157" t="s">
        <v>70</v>
      </c>
      <c r="E98" s="162">
        <f>E93*1.05</f>
        <v>305.13000000000005</v>
      </c>
      <c r="F98" s="133"/>
      <c r="G98" s="134"/>
      <c r="H98" s="135"/>
      <c r="I98" s="134"/>
      <c r="J98" s="134"/>
      <c r="K98" s="134">
        <f t="shared" si="22"/>
        <v>0</v>
      </c>
      <c r="L98" s="105">
        <f t="shared" si="15"/>
        <v>0</v>
      </c>
      <c r="M98" s="87">
        <f t="shared" si="16"/>
        <v>0</v>
      </c>
      <c r="N98" s="87">
        <f t="shared" si="17"/>
        <v>0</v>
      </c>
      <c r="O98" s="87">
        <f t="shared" si="18"/>
        <v>0</v>
      </c>
      <c r="P98" s="88">
        <f t="shared" si="19"/>
        <v>0</v>
      </c>
    </row>
    <row r="99" spans="1:16" ht="26.4" x14ac:dyDescent="0.2">
      <c r="A99" s="160">
        <v>10</v>
      </c>
      <c r="B99" s="157"/>
      <c r="C99" s="164" t="s">
        <v>243</v>
      </c>
      <c r="D99" s="157" t="s">
        <v>58</v>
      </c>
      <c r="E99" s="162">
        <f>22*1.05</f>
        <v>23.1</v>
      </c>
      <c r="F99" s="133"/>
      <c r="G99" s="134"/>
      <c r="H99" s="135"/>
      <c r="I99" s="134"/>
      <c r="J99" s="134"/>
      <c r="K99" s="134">
        <f t="shared" si="22"/>
        <v>0</v>
      </c>
      <c r="L99" s="105">
        <f t="shared" si="15"/>
        <v>0</v>
      </c>
      <c r="M99" s="87">
        <f t="shared" si="16"/>
        <v>0</v>
      </c>
      <c r="N99" s="87">
        <f t="shared" si="17"/>
        <v>0</v>
      </c>
      <c r="O99" s="87">
        <f t="shared" si="18"/>
        <v>0</v>
      </c>
      <c r="P99" s="88">
        <f t="shared" si="19"/>
        <v>0</v>
      </c>
    </row>
    <row r="100" spans="1:16" ht="13.2" x14ac:dyDescent="0.2">
      <c r="A100" s="160">
        <v>11</v>
      </c>
      <c r="B100" s="157" t="s">
        <v>56</v>
      </c>
      <c r="C100" s="163" t="s">
        <v>177</v>
      </c>
      <c r="D100" s="157" t="s">
        <v>70</v>
      </c>
      <c r="E100" s="162">
        <f>E93</f>
        <v>290.60000000000002</v>
      </c>
      <c r="F100" s="133"/>
      <c r="G100" s="134"/>
      <c r="H100" s="135">
        <f t="shared" ref="H100" si="23">ROUND(F100*G100,2)</f>
        <v>0</v>
      </c>
      <c r="I100" s="134"/>
      <c r="J100" s="134"/>
      <c r="K100" s="134">
        <f t="shared" si="22"/>
        <v>0</v>
      </c>
      <c r="L100" s="105">
        <f t="shared" si="15"/>
        <v>0</v>
      </c>
      <c r="M100" s="87">
        <f t="shared" si="16"/>
        <v>0</v>
      </c>
      <c r="N100" s="87">
        <f t="shared" si="17"/>
        <v>0</v>
      </c>
      <c r="O100" s="87">
        <f t="shared" si="18"/>
        <v>0</v>
      </c>
      <c r="P100" s="88">
        <f t="shared" si="19"/>
        <v>0</v>
      </c>
    </row>
    <row r="101" spans="1:16" ht="13.2" x14ac:dyDescent="0.2">
      <c r="A101" s="160">
        <v>12</v>
      </c>
      <c r="B101" s="157"/>
      <c r="C101" s="164" t="s">
        <v>160</v>
      </c>
      <c r="D101" s="157" t="s">
        <v>157</v>
      </c>
      <c r="E101" s="162">
        <f>E100*0.12</f>
        <v>34.872</v>
      </c>
      <c r="F101" s="133"/>
      <c r="G101" s="134"/>
      <c r="H101" s="135"/>
      <c r="I101" s="134"/>
      <c r="J101" s="134"/>
      <c r="K101" s="134">
        <f t="shared" si="22"/>
        <v>0</v>
      </c>
      <c r="L101" s="105">
        <f t="shared" si="15"/>
        <v>0</v>
      </c>
      <c r="M101" s="87">
        <f t="shared" si="16"/>
        <v>0</v>
      </c>
      <c r="N101" s="87">
        <f t="shared" si="17"/>
        <v>0</v>
      </c>
      <c r="O101" s="87">
        <f t="shared" si="18"/>
        <v>0</v>
      </c>
      <c r="P101" s="88">
        <f t="shared" si="19"/>
        <v>0</v>
      </c>
    </row>
    <row r="102" spans="1:16" ht="13.2" x14ac:dyDescent="0.2">
      <c r="A102" s="160">
        <v>13</v>
      </c>
      <c r="B102" s="157"/>
      <c r="C102" s="164" t="s">
        <v>178</v>
      </c>
      <c r="D102" s="157" t="s">
        <v>165</v>
      </c>
      <c r="E102" s="173">
        <f>E100*4.5</f>
        <v>1307.7</v>
      </c>
      <c r="F102" s="133"/>
      <c r="G102" s="134"/>
      <c r="H102" s="135"/>
      <c r="I102" s="134"/>
      <c r="J102" s="134"/>
      <c r="K102" s="134">
        <f t="shared" si="22"/>
        <v>0</v>
      </c>
      <c r="L102" s="105">
        <f t="shared" si="15"/>
        <v>0</v>
      </c>
      <c r="M102" s="87">
        <f t="shared" si="16"/>
        <v>0</v>
      </c>
      <c r="N102" s="87">
        <f t="shared" si="17"/>
        <v>0</v>
      </c>
      <c r="O102" s="87">
        <f t="shared" si="18"/>
        <v>0</v>
      </c>
      <c r="P102" s="88">
        <f t="shared" si="19"/>
        <v>0</v>
      </c>
    </row>
    <row r="103" spans="1:16" ht="13.2" x14ac:dyDescent="0.2">
      <c r="A103" s="160">
        <v>14</v>
      </c>
      <c r="B103" s="157"/>
      <c r="C103" s="164" t="s">
        <v>170</v>
      </c>
      <c r="D103" s="157" t="s">
        <v>70</v>
      </c>
      <c r="E103" s="162">
        <f>E100*1.2</f>
        <v>348.72</v>
      </c>
      <c r="F103" s="133"/>
      <c r="G103" s="134"/>
      <c r="H103" s="135"/>
      <c r="I103" s="134"/>
      <c r="J103" s="134"/>
      <c r="K103" s="134">
        <f t="shared" si="22"/>
        <v>0</v>
      </c>
      <c r="L103" s="105">
        <f t="shared" si="15"/>
        <v>0</v>
      </c>
      <c r="M103" s="87">
        <f t="shared" si="16"/>
        <v>0</v>
      </c>
      <c r="N103" s="87">
        <f t="shared" si="17"/>
        <v>0</v>
      </c>
      <c r="O103" s="87">
        <f t="shared" si="18"/>
        <v>0</v>
      </c>
      <c r="P103" s="88">
        <f t="shared" si="19"/>
        <v>0</v>
      </c>
    </row>
    <row r="104" spans="1:16" ht="13.2" x14ac:dyDescent="0.2">
      <c r="A104" s="160">
        <v>15</v>
      </c>
      <c r="B104" s="157" t="s">
        <v>56</v>
      </c>
      <c r="C104" s="163" t="s">
        <v>246</v>
      </c>
      <c r="D104" s="157" t="s">
        <v>70</v>
      </c>
      <c r="E104" s="162">
        <v>8</v>
      </c>
      <c r="F104" s="133"/>
      <c r="G104" s="134"/>
      <c r="H104" s="135">
        <f t="shared" ref="H104" si="24">ROUND(F104*G104,2)</f>
        <v>0</v>
      </c>
      <c r="I104" s="134"/>
      <c r="J104" s="134"/>
      <c r="K104" s="134">
        <f t="shared" si="22"/>
        <v>0</v>
      </c>
      <c r="L104" s="105">
        <f t="shared" si="15"/>
        <v>0</v>
      </c>
      <c r="M104" s="87">
        <f t="shared" si="16"/>
        <v>0</v>
      </c>
      <c r="N104" s="87">
        <f t="shared" si="17"/>
        <v>0</v>
      </c>
      <c r="O104" s="87">
        <f t="shared" si="18"/>
        <v>0</v>
      </c>
      <c r="P104" s="88">
        <f t="shared" si="19"/>
        <v>0</v>
      </c>
    </row>
    <row r="105" spans="1:16" ht="13.2" x14ac:dyDescent="0.2">
      <c r="A105" s="160">
        <v>16</v>
      </c>
      <c r="B105" s="157"/>
      <c r="C105" s="164" t="s">
        <v>247</v>
      </c>
      <c r="D105" s="157" t="s">
        <v>157</v>
      </c>
      <c r="E105" s="162">
        <f>E104*0.12</f>
        <v>0.96</v>
      </c>
      <c r="F105" s="133"/>
      <c r="G105" s="134"/>
      <c r="H105" s="135"/>
      <c r="I105" s="134"/>
      <c r="J105" s="134"/>
      <c r="K105" s="134">
        <f t="shared" si="22"/>
        <v>0</v>
      </c>
      <c r="L105" s="105">
        <f t="shared" si="15"/>
        <v>0</v>
      </c>
      <c r="M105" s="87">
        <f t="shared" si="16"/>
        <v>0</v>
      </c>
      <c r="N105" s="87">
        <f t="shared" si="17"/>
        <v>0</v>
      </c>
      <c r="O105" s="87">
        <f t="shared" si="18"/>
        <v>0</v>
      </c>
      <c r="P105" s="88">
        <f t="shared" si="19"/>
        <v>0</v>
      </c>
    </row>
    <row r="106" spans="1:16" ht="13.2" x14ac:dyDescent="0.2">
      <c r="A106" s="160">
        <v>17</v>
      </c>
      <c r="B106" s="157"/>
      <c r="C106" s="164" t="s">
        <v>252</v>
      </c>
      <c r="D106" s="157" t="s">
        <v>165</v>
      </c>
      <c r="E106" s="162">
        <f>E104*4.5*1.5</f>
        <v>54</v>
      </c>
      <c r="F106" s="133"/>
      <c r="G106" s="134"/>
      <c r="H106" s="135"/>
      <c r="I106" s="134"/>
      <c r="J106" s="134"/>
      <c r="K106" s="134">
        <f t="shared" si="22"/>
        <v>0</v>
      </c>
      <c r="L106" s="105">
        <f t="shared" si="15"/>
        <v>0</v>
      </c>
      <c r="M106" s="87">
        <f t="shared" si="16"/>
        <v>0</v>
      </c>
      <c r="N106" s="87">
        <f t="shared" si="17"/>
        <v>0</v>
      </c>
      <c r="O106" s="87">
        <f t="shared" si="18"/>
        <v>0</v>
      </c>
      <c r="P106" s="88">
        <f t="shared" si="19"/>
        <v>0</v>
      </c>
    </row>
    <row r="107" spans="1:16" ht="13.2" x14ac:dyDescent="0.2">
      <c r="A107" s="160">
        <v>18</v>
      </c>
      <c r="B107" s="157"/>
      <c r="C107" s="164" t="s">
        <v>170</v>
      </c>
      <c r="D107" s="157" t="s">
        <v>70</v>
      </c>
      <c r="E107" s="162">
        <f>E104*1.2*2</f>
        <v>19.2</v>
      </c>
      <c r="F107" s="133"/>
      <c r="G107" s="134"/>
      <c r="H107" s="135"/>
      <c r="I107" s="134"/>
      <c r="J107" s="134"/>
      <c r="K107" s="134">
        <f t="shared" si="22"/>
        <v>0</v>
      </c>
      <c r="L107" s="105">
        <f t="shared" si="15"/>
        <v>0</v>
      </c>
      <c r="M107" s="87">
        <f t="shared" si="16"/>
        <v>0</v>
      </c>
      <c r="N107" s="87">
        <f t="shared" si="17"/>
        <v>0</v>
      </c>
      <c r="O107" s="87">
        <f t="shared" si="18"/>
        <v>0</v>
      </c>
      <c r="P107" s="88">
        <f t="shared" si="19"/>
        <v>0</v>
      </c>
    </row>
    <row r="108" spans="1:16" ht="13.2" x14ac:dyDescent="0.2">
      <c r="A108" s="160">
        <v>19</v>
      </c>
      <c r="B108" s="157" t="s">
        <v>56</v>
      </c>
      <c r="C108" s="163" t="s">
        <v>248</v>
      </c>
      <c r="D108" s="157" t="s">
        <v>70</v>
      </c>
      <c r="E108" s="162">
        <f>E100</f>
        <v>290.60000000000002</v>
      </c>
      <c r="F108" s="133"/>
      <c r="G108" s="134"/>
      <c r="H108" s="135">
        <f t="shared" ref="H108" si="25">ROUND(F108*G108,2)</f>
        <v>0</v>
      </c>
      <c r="I108" s="134"/>
      <c r="J108" s="134"/>
      <c r="K108" s="134">
        <f t="shared" si="22"/>
        <v>0</v>
      </c>
      <c r="L108" s="105">
        <f t="shared" si="15"/>
        <v>0</v>
      </c>
      <c r="M108" s="87">
        <f t="shared" si="16"/>
        <v>0</v>
      </c>
      <c r="N108" s="87">
        <f t="shared" si="17"/>
        <v>0</v>
      </c>
      <c r="O108" s="87">
        <f t="shared" si="18"/>
        <v>0</v>
      </c>
      <c r="P108" s="88">
        <f t="shared" si="19"/>
        <v>0</v>
      </c>
    </row>
    <row r="109" spans="1:16" ht="26.4" x14ac:dyDescent="0.2">
      <c r="A109" s="160">
        <v>20</v>
      </c>
      <c r="B109" s="157"/>
      <c r="C109" s="164" t="s">
        <v>249</v>
      </c>
      <c r="D109" s="157" t="s">
        <v>157</v>
      </c>
      <c r="E109" s="162">
        <f>E108*0.15</f>
        <v>43.59</v>
      </c>
      <c r="F109" s="133"/>
      <c r="G109" s="134"/>
      <c r="H109" s="135"/>
      <c r="I109" s="134"/>
      <c r="J109" s="134"/>
      <c r="K109" s="134">
        <f t="shared" si="22"/>
        <v>0</v>
      </c>
      <c r="L109" s="105">
        <f t="shared" si="15"/>
        <v>0</v>
      </c>
      <c r="M109" s="87">
        <f t="shared" si="16"/>
        <v>0</v>
      </c>
      <c r="N109" s="87">
        <f t="shared" si="17"/>
        <v>0</v>
      </c>
      <c r="O109" s="87">
        <f t="shared" si="18"/>
        <v>0</v>
      </c>
      <c r="P109" s="88">
        <f t="shared" si="19"/>
        <v>0</v>
      </c>
    </row>
    <row r="110" spans="1:16" ht="26.4" x14ac:dyDescent="0.2">
      <c r="A110" s="160">
        <v>21</v>
      </c>
      <c r="B110" s="157"/>
      <c r="C110" s="164" t="s">
        <v>250</v>
      </c>
      <c r="D110" s="157" t="s">
        <v>165</v>
      </c>
      <c r="E110" s="162">
        <f>E108*3.5</f>
        <v>1017.1000000000001</v>
      </c>
      <c r="F110" s="133"/>
      <c r="G110" s="134"/>
      <c r="H110" s="135"/>
      <c r="I110" s="134"/>
      <c r="J110" s="134"/>
      <c r="K110" s="134">
        <f t="shared" si="22"/>
        <v>0</v>
      </c>
      <c r="L110" s="105">
        <f t="shared" si="15"/>
        <v>0</v>
      </c>
      <c r="M110" s="87">
        <f t="shared" si="16"/>
        <v>0</v>
      </c>
      <c r="N110" s="87">
        <f t="shared" si="17"/>
        <v>0</v>
      </c>
      <c r="O110" s="87">
        <f t="shared" si="18"/>
        <v>0</v>
      </c>
      <c r="P110" s="88">
        <f t="shared" si="19"/>
        <v>0</v>
      </c>
    </row>
    <row r="111" spans="1:16" ht="26.4" x14ac:dyDescent="0.2">
      <c r="A111" s="165"/>
      <c r="B111" s="166"/>
      <c r="C111" s="167" t="s">
        <v>253</v>
      </c>
      <c r="D111" s="168"/>
      <c r="E111" s="169"/>
      <c r="F111" s="170"/>
      <c r="G111" s="171"/>
      <c r="H111" s="171"/>
      <c r="I111" s="171"/>
      <c r="J111" s="171"/>
      <c r="K111" s="171"/>
      <c r="L111" s="105"/>
      <c r="M111" s="87"/>
      <c r="N111" s="87"/>
      <c r="O111" s="87"/>
      <c r="P111" s="88"/>
    </row>
    <row r="112" spans="1:16" ht="39.6" x14ac:dyDescent="0.2">
      <c r="A112" s="160">
        <v>1</v>
      </c>
      <c r="B112" s="157" t="s">
        <v>56</v>
      </c>
      <c r="C112" s="163" t="s">
        <v>238</v>
      </c>
      <c r="D112" s="157" t="s">
        <v>70</v>
      </c>
      <c r="E112" s="172">
        <v>481</v>
      </c>
      <c r="F112" s="133"/>
      <c r="G112" s="134"/>
      <c r="H112" s="135">
        <f>ROUND(F112*G112,2)</f>
        <v>0</v>
      </c>
      <c r="I112" s="134"/>
      <c r="J112" s="134"/>
      <c r="K112" s="134">
        <f>ROUND(H112+J112+I112,2)</f>
        <v>0</v>
      </c>
      <c r="L112" s="105">
        <f t="shared" si="15"/>
        <v>0</v>
      </c>
      <c r="M112" s="87">
        <f t="shared" si="16"/>
        <v>0</v>
      </c>
      <c r="N112" s="87">
        <f t="shared" si="17"/>
        <v>0</v>
      </c>
      <c r="O112" s="87">
        <f t="shared" si="18"/>
        <v>0</v>
      </c>
      <c r="P112" s="88">
        <f t="shared" si="19"/>
        <v>0</v>
      </c>
    </row>
    <row r="113" spans="1:16" ht="13.2" x14ac:dyDescent="0.2">
      <c r="A113" s="160">
        <v>2</v>
      </c>
      <c r="B113" s="157"/>
      <c r="C113" s="164" t="s">
        <v>160</v>
      </c>
      <c r="D113" s="157" t="s">
        <v>157</v>
      </c>
      <c r="E113" s="162">
        <f>E112*0.12</f>
        <v>57.72</v>
      </c>
      <c r="F113" s="133"/>
      <c r="G113" s="134"/>
      <c r="H113" s="135"/>
      <c r="I113" s="134"/>
      <c r="J113" s="134"/>
      <c r="K113" s="134">
        <f t="shared" ref="K113:K114" si="26">ROUND(H113+J113+I113,2)</f>
        <v>0</v>
      </c>
      <c r="L113" s="105">
        <f t="shared" si="15"/>
        <v>0</v>
      </c>
      <c r="M113" s="87">
        <f t="shared" si="16"/>
        <v>0</v>
      </c>
      <c r="N113" s="87">
        <f t="shared" si="17"/>
        <v>0</v>
      </c>
      <c r="O113" s="87">
        <f t="shared" si="18"/>
        <v>0</v>
      </c>
      <c r="P113" s="88">
        <f t="shared" si="19"/>
        <v>0</v>
      </c>
    </row>
    <row r="114" spans="1:16" ht="26.4" x14ac:dyDescent="0.2">
      <c r="A114" s="160">
        <v>3</v>
      </c>
      <c r="B114" s="157"/>
      <c r="C114" s="164" t="s">
        <v>161</v>
      </c>
      <c r="D114" s="157" t="s">
        <v>162</v>
      </c>
      <c r="E114" s="173">
        <f>E112*5</f>
        <v>2405</v>
      </c>
      <c r="F114" s="133"/>
      <c r="G114" s="134"/>
      <c r="H114" s="135"/>
      <c r="I114" s="134"/>
      <c r="J114" s="134"/>
      <c r="K114" s="134">
        <f t="shared" si="26"/>
        <v>0</v>
      </c>
      <c r="L114" s="105">
        <f t="shared" si="15"/>
        <v>0</v>
      </c>
      <c r="M114" s="87">
        <f t="shared" si="16"/>
        <v>0</v>
      </c>
      <c r="N114" s="87">
        <f t="shared" si="17"/>
        <v>0</v>
      </c>
      <c r="O114" s="87">
        <f t="shared" si="18"/>
        <v>0</v>
      </c>
      <c r="P114" s="88">
        <f t="shared" si="19"/>
        <v>0</v>
      </c>
    </row>
    <row r="115" spans="1:16" ht="13.2" x14ac:dyDescent="0.2">
      <c r="A115" s="160">
        <v>4</v>
      </c>
      <c r="B115" s="157" t="s">
        <v>56</v>
      </c>
      <c r="C115" s="163" t="s">
        <v>239</v>
      </c>
      <c r="D115" s="157" t="s">
        <v>70</v>
      </c>
      <c r="E115" s="162">
        <v>962</v>
      </c>
      <c r="F115" s="133"/>
      <c r="G115" s="134"/>
      <c r="H115" s="135">
        <f t="shared" ref="H115" si="27">ROUND(F115*G115,2)</f>
        <v>0</v>
      </c>
      <c r="I115" s="134"/>
      <c r="J115" s="134"/>
      <c r="K115" s="134">
        <f>ROUND(H115+J115+I115,2)</f>
        <v>0</v>
      </c>
      <c r="L115" s="105">
        <f t="shared" si="15"/>
        <v>0</v>
      </c>
      <c r="M115" s="87">
        <f t="shared" si="16"/>
        <v>0</v>
      </c>
      <c r="N115" s="87">
        <f t="shared" si="17"/>
        <v>0</v>
      </c>
      <c r="O115" s="87">
        <f t="shared" si="18"/>
        <v>0</v>
      </c>
      <c r="P115" s="88">
        <f t="shared" si="19"/>
        <v>0</v>
      </c>
    </row>
    <row r="116" spans="1:16" ht="13.2" x14ac:dyDescent="0.2">
      <c r="A116" s="160">
        <v>5</v>
      </c>
      <c r="B116" s="157"/>
      <c r="C116" s="164" t="s">
        <v>160</v>
      </c>
      <c r="D116" s="157" t="s">
        <v>157</v>
      </c>
      <c r="E116" s="162">
        <f>E115*0.12</f>
        <v>115.44</v>
      </c>
      <c r="F116" s="133"/>
      <c r="G116" s="134"/>
      <c r="H116" s="135"/>
      <c r="I116" s="134"/>
      <c r="J116" s="134"/>
      <c r="K116" s="134">
        <f t="shared" ref="K116:K134" si="28">ROUND(H116+J116+I116,2)</f>
        <v>0</v>
      </c>
      <c r="L116" s="105">
        <f t="shared" si="15"/>
        <v>0</v>
      </c>
      <c r="M116" s="87">
        <f t="shared" si="16"/>
        <v>0</v>
      </c>
      <c r="N116" s="87">
        <f t="shared" si="17"/>
        <v>0</v>
      </c>
      <c r="O116" s="87">
        <f t="shared" si="18"/>
        <v>0</v>
      </c>
      <c r="P116" s="88">
        <f t="shared" si="19"/>
        <v>0</v>
      </c>
    </row>
    <row r="117" spans="1:16" ht="13.2" x14ac:dyDescent="0.2">
      <c r="A117" s="160">
        <v>6</v>
      </c>
      <c r="B117" s="157"/>
      <c r="C117" s="164" t="s">
        <v>174</v>
      </c>
      <c r="D117" s="157" t="s">
        <v>165</v>
      </c>
      <c r="E117" s="173">
        <f>E115*5</f>
        <v>4810</v>
      </c>
      <c r="F117" s="133"/>
      <c r="G117" s="134"/>
      <c r="H117" s="135"/>
      <c r="I117" s="134"/>
      <c r="J117" s="134"/>
      <c r="K117" s="134">
        <f t="shared" si="28"/>
        <v>0</v>
      </c>
      <c r="L117" s="105">
        <f t="shared" si="15"/>
        <v>0</v>
      </c>
      <c r="M117" s="87">
        <f t="shared" si="16"/>
        <v>0</v>
      </c>
      <c r="N117" s="87">
        <f t="shared" si="17"/>
        <v>0</v>
      </c>
      <c r="O117" s="87">
        <f t="shared" si="18"/>
        <v>0</v>
      </c>
      <c r="P117" s="88">
        <f t="shared" si="19"/>
        <v>0</v>
      </c>
    </row>
    <row r="118" spans="1:16" ht="13.2" x14ac:dyDescent="0.2">
      <c r="A118" s="160">
        <v>7</v>
      </c>
      <c r="B118" s="157"/>
      <c r="C118" s="164" t="s">
        <v>240</v>
      </c>
      <c r="D118" s="157" t="s">
        <v>62</v>
      </c>
      <c r="E118" s="173">
        <f>ROUND(E115*8.15,0)</f>
        <v>7840</v>
      </c>
      <c r="F118" s="133"/>
      <c r="G118" s="134"/>
      <c r="H118" s="135"/>
      <c r="I118" s="134"/>
      <c r="J118" s="134"/>
      <c r="K118" s="134">
        <f t="shared" si="28"/>
        <v>0</v>
      </c>
      <c r="L118" s="105">
        <f t="shared" si="15"/>
        <v>0</v>
      </c>
      <c r="M118" s="87">
        <f t="shared" si="16"/>
        <v>0</v>
      </c>
      <c r="N118" s="87">
        <f t="shared" si="17"/>
        <v>0</v>
      </c>
      <c r="O118" s="87">
        <f t="shared" si="18"/>
        <v>0</v>
      </c>
      <c r="P118" s="88">
        <f t="shared" si="19"/>
        <v>0</v>
      </c>
    </row>
    <row r="119" spans="1:16" ht="13.2" x14ac:dyDescent="0.2">
      <c r="A119" s="160">
        <v>8</v>
      </c>
      <c r="B119" s="157"/>
      <c r="C119" s="164" t="s">
        <v>241</v>
      </c>
      <c r="D119" s="157" t="s">
        <v>62</v>
      </c>
      <c r="E119" s="162">
        <f>E118</f>
        <v>7840</v>
      </c>
      <c r="F119" s="133"/>
      <c r="G119" s="134"/>
      <c r="H119" s="135"/>
      <c r="I119" s="134"/>
      <c r="J119" s="134"/>
      <c r="K119" s="134">
        <f t="shared" si="28"/>
        <v>0</v>
      </c>
      <c r="L119" s="105">
        <f t="shared" si="15"/>
        <v>0</v>
      </c>
      <c r="M119" s="87">
        <f t="shared" si="16"/>
        <v>0</v>
      </c>
      <c r="N119" s="87">
        <f t="shared" si="17"/>
        <v>0</v>
      </c>
      <c r="O119" s="87">
        <f t="shared" si="18"/>
        <v>0</v>
      </c>
      <c r="P119" s="88">
        <f t="shared" si="19"/>
        <v>0</v>
      </c>
    </row>
    <row r="120" spans="1:16" ht="39.6" x14ac:dyDescent="0.2">
      <c r="A120" s="160">
        <v>9</v>
      </c>
      <c r="B120" s="157"/>
      <c r="C120" s="164" t="s">
        <v>254</v>
      </c>
      <c r="D120" s="157" t="s">
        <v>70</v>
      </c>
      <c r="E120" s="162">
        <f>E115*1.05</f>
        <v>1010.1</v>
      </c>
      <c r="F120" s="133"/>
      <c r="G120" s="134"/>
      <c r="H120" s="135"/>
      <c r="I120" s="134"/>
      <c r="J120" s="134"/>
      <c r="K120" s="134">
        <f t="shared" si="28"/>
        <v>0</v>
      </c>
      <c r="L120" s="105">
        <f t="shared" si="15"/>
        <v>0</v>
      </c>
      <c r="M120" s="87">
        <f t="shared" si="16"/>
        <v>0</v>
      </c>
      <c r="N120" s="87">
        <f t="shared" si="17"/>
        <v>0</v>
      </c>
      <c r="O120" s="87">
        <f t="shared" si="18"/>
        <v>0</v>
      </c>
      <c r="P120" s="88">
        <f t="shared" si="19"/>
        <v>0</v>
      </c>
    </row>
    <row r="121" spans="1:16" ht="26.4" x14ac:dyDescent="0.2">
      <c r="A121" s="160">
        <v>10</v>
      </c>
      <c r="B121" s="157"/>
      <c r="C121" s="164" t="s">
        <v>243</v>
      </c>
      <c r="D121" s="157" t="s">
        <v>58</v>
      </c>
      <c r="E121" s="162">
        <f>110.3*1.05</f>
        <v>115.815</v>
      </c>
      <c r="F121" s="133"/>
      <c r="G121" s="134"/>
      <c r="H121" s="135"/>
      <c r="I121" s="134"/>
      <c r="J121" s="134"/>
      <c r="K121" s="134">
        <f t="shared" si="28"/>
        <v>0</v>
      </c>
      <c r="L121" s="105">
        <f t="shared" si="15"/>
        <v>0</v>
      </c>
      <c r="M121" s="87">
        <f t="shared" si="16"/>
        <v>0</v>
      </c>
      <c r="N121" s="87">
        <f t="shared" si="17"/>
        <v>0</v>
      </c>
      <c r="O121" s="87">
        <f t="shared" si="18"/>
        <v>0</v>
      </c>
      <c r="P121" s="88">
        <f t="shared" si="19"/>
        <v>0</v>
      </c>
    </row>
    <row r="122" spans="1:16" ht="13.2" x14ac:dyDescent="0.2">
      <c r="A122" s="160">
        <v>11</v>
      </c>
      <c r="B122" s="157" t="s">
        <v>56</v>
      </c>
      <c r="C122" s="163" t="s">
        <v>177</v>
      </c>
      <c r="D122" s="157" t="s">
        <v>70</v>
      </c>
      <c r="E122" s="162">
        <f>E115</f>
        <v>962</v>
      </c>
      <c r="F122" s="133"/>
      <c r="G122" s="134"/>
      <c r="H122" s="135">
        <f t="shared" ref="H122" si="29">ROUND(F122*G122,2)</f>
        <v>0</v>
      </c>
      <c r="I122" s="134"/>
      <c r="J122" s="134"/>
      <c r="K122" s="134">
        <f t="shared" si="28"/>
        <v>0</v>
      </c>
      <c r="L122" s="105">
        <f t="shared" si="15"/>
        <v>0</v>
      </c>
      <c r="M122" s="87">
        <f t="shared" si="16"/>
        <v>0</v>
      </c>
      <c r="N122" s="87">
        <f t="shared" si="17"/>
        <v>0</v>
      </c>
      <c r="O122" s="87">
        <f t="shared" si="18"/>
        <v>0</v>
      </c>
      <c r="P122" s="88">
        <f t="shared" si="19"/>
        <v>0</v>
      </c>
    </row>
    <row r="123" spans="1:16" ht="13.2" x14ac:dyDescent="0.2">
      <c r="A123" s="160">
        <v>12</v>
      </c>
      <c r="B123" s="157"/>
      <c r="C123" s="164" t="s">
        <v>160</v>
      </c>
      <c r="D123" s="157" t="s">
        <v>157</v>
      </c>
      <c r="E123" s="162">
        <f>E122*0.12</f>
        <v>115.44</v>
      </c>
      <c r="F123" s="133"/>
      <c r="G123" s="134"/>
      <c r="H123" s="135"/>
      <c r="I123" s="134"/>
      <c r="J123" s="134"/>
      <c r="K123" s="134">
        <f t="shared" si="28"/>
        <v>0</v>
      </c>
      <c r="L123" s="105">
        <f t="shared" si="15"/>
        <v>0</v>
      </c>
      <c r="M123" s="87">
        <f t="shared" si="16"/>
        <v>0</v>
      </c>
      <c r="N123" s="87">
        <f t="shared" si="17"/>
        <v>0</v>
      </c>
      <c r="O123" s="87">
        <f t="shared" si="18"/>
        <v>0</v>
      </c>
      <c r="P123" s="88">
        <f t="shared" si="19"/>
        <v>0</v>
      </c>
    </row>
    <row r="124" spans="1:16" ht="13.2" x14ac:dyDescent="0.2">
      <c r="A124" s="160">
        <v>13</v>
      </c>
      <c r="B124" s="157"/>
      <c r="C124" s="164" t="s">
        <v>178</v>
      </c>
      <c r="D124" s="157" t="s">
        <v>165</v>
      </c>
      <c r="E124" s="173">
        <f>E122*4.5</f>
        <v>4329</v>
      </c>
      <c r="F124" s="133"/>
      <c r="G124" s="134"/>
      <c r="H124" s="135"/>
      <c r="I124" s="134"/>
      <c r="J124" s="134"/>
      <c r="K124" s="134">
        <f t="shared" si="28"/>
        <v>0</v>
      </c>
      <c r="L124" s="105">
        <f t="shared" si="15"/>
        <v>0</v>
      </c>
      <c r="M124" s="87">
        <f t="shared" si="16"/>
        <v>0</v>
      </c>
      <c r="N124" s="87">
        <f t="shared" si="17"/>
        <v>0</v>
      </c>
      <c r="O124" s="87">
        <f t="shared" si="18"/>
        <v>0</v>
      </c>
      <c r="P124" s="88">
        <f t="shared" si="19"/>
        <v>0</v>
      </c>
    </row>
    <row r="125" spans="1:16" ht="13.2" x14ac:dyDescent="0.2">
      <c r="A125" s="160">
        <v>14</v>
      </c>
      <c r="B125" s="157"/>
      <c r="C125" s="164" t="s">
        <v>170</v>
      </c>
      <c r="D125" s="157" t="s">
        <v>70</v>
      </c>
      <c r="E125" s="162">
        <f>E122*1.2</f>
        <v>1154.3999999999999</v>
      </c>
      <c r="F125" s="133"/>
      <c r="G125" s="134"/>
      <c r="H125" s="135"/>
      <c r="I125" s="134"/>
      <c r="J125" s="134"/>
      <c r="K125" s="134">
        <f t="shared" si="28"/>
        <v>0</v>
      </c>
      <c r="L125" s="105">
        <f t="shared" si="15"/>
        <v>0</v>
      </c>
      <c r="M125" s="87">
        <f t="shared" si="16"/>
        <v>0</v>
      </c>
      <c r="N125" s="87">
        <f t="shared" si="17"/>
        <v>0</v>
      </c>
      <c r="O125" s="87">
        <f t="shared" si="18"/>
        <v>0</v>
      </c>
      <c r="P125" s="88">
        <f t="shared" si="19"/>
        <v>0</v>
      </c>
    </row>
    <row r="126" spans="1:16" ht="13.2" x14ac:dyDescent="0.2">
      <c r="A126" s="160">
        <v>15</v>
      </c>
      <c r="B126" s="157"/>
      <c r="C126" s="164" t="s">
        <v>244</v>
      </c>
      <c r="D126" s="157" t="s">
        <v>58</v>
      </c>
      <c r="E126" s="162">
        <f>51.4*1.1</f>
        <v>56.540000000000006</v>
      </c>
      <c r="F126" s="133"/>
      <c r="G126" s="134"/>
      <c r="H126" s="135"/>
      <c r="I126" s="134"/>
      <c r="J126" s="134"/>
      <c r="K126" s="134">
        <f t="shared" si="28"/>
        <v>0</v>
      </c>
      <c r="L126" s="105">
        <f t="shared" si="15"/>
        <v>0</v>
      </c>
      <c r="M126" s="87">
        <f t="shared" si="16"/>
        <v>0</v>
      </c>
      <c r="N126" s="87">
        <f t="shared" si="17"/>
        <v>0</v>
      </c>
      <c r="O126" s="87">
        <f t="shared" si="18"/>
        <v>0</v>
      </c>
      <c r="P126" s="88">
        <f t="shared" si="19"/>
        <v>0</v>
      </c>
    </row>
    <row r="127" spans="1:16" ht="26.4" x14ac:dyDescent="0.2">
      <c r="A127" s="160">
        <v>16</v>
      </c>
      <c r="B127" s="157"/>
      <c r="C127" s="164" t="s">
        <v>245</v>
      </c>
      <c r="D127" s="157" t="s">
        <v>58</v>
      </c>
      <c r="E127" s="162">
        <f>14.5*1.1</f>
        <v>15.950000000000001</v>
      </c>
      <c r="F127" s="133"/>
      <c r="G127" s="134"/>
      <c r="H127" s="135"/>
      <c r="I127" s="134"/>
      <c r="J127" s="134"/>
      <c r="K127" s="134">
        <f t="shared" si="28"/>
        <v>0</v>
      </c>
      <c r="L127" s="105">
        <f t="shared" si="15"/>
        <v>0</v>
      </c>
      <c r="M127" s="87">
        <f t="shared" si="16"/>
        <v>0</v>
      </c>
      <c r="N127" s="87">
        <f t="shared" si="17"/>
        <v>0</v>
      </c>
      <c r="O127" s="87">
        <f t="shared" si="18"/>
        <v>0</v>
      </c>
      <c r="P127" s="88">
        <f t="shared" si="19"/>
        <v>0</v>
      </c>
    </row>
    <row r="128" spans="1:16" ht="13.2" x14ac:dyDescent="0.2">
      <c r="A128" s="160">
        <v>17</v>
      </c>
      <c r="B128" s="157" t="s">
        <v>56</v>
      </c>
      <c r="C128" s="163" t="s">
        <v>246</v>
      </c>
      <c r="D128" s="157" t="s">
        <v>70</v>
      </c>
      <c r="E128" s="162">
        <v>31.1</v>
      </c>
      <c r="F128" s="133"/>
      <c r="G128" s="134"/>
      <c r="H128" s="135">
        <f t="shared" ref="H128" si="30">ROUND(F128*G128,2)</f>
        <v>0</v>
      </c>
      <c r="I128" s="134"/>
      <c r="J128" s="134"/>
      <c r="K128" s="134">
        <f t="shared" si="28"/>
        <v>0</v>
      </c>
      <c r="L128" s="105">
        <f t="shared" si="15"/>
        <v>0</v>
      </c>
      <c r="M128" s="87">
        <f t="shared" si="16"/>
        <v>0</v>
      </c>
      <c r="N128" s="87">
        <f t="shared" si="17"/>
        <v>0</v>
      </c>
      <c r="O128" s="87">
        <f t="shared" si="18"/>
        <v>0</v>
      </c>
      <c r="P128" s="88">
        <f t="shared" si="19"/>
        <v>0</v>
      </c>
    </row>
    <row r="129" spans="1:16" ht="13.2" x14ac:dyDescent="0.2">
      <c r="A129" s="160">
        <v>18</v>
      </c>
      <c r="B129" s="157"/>
      <c r="C129" s="164" t="s">
        <v>247</v>
      </c>
      <c r="D129" s="157" t="s">
        <v>157</v>
      </c>
      <c r="E129" s="162">
        <f>E128*0.12</f>
        <v>3.7320000000000002</v>
      </c>
      <c r="F129" s="133"/>
      <c r="G129" s="134"/>
      <c r="H129" s="135"/>
      <c r="I129" s="134"/>
      <c r="J129" s="134"/>
      <c r="K129" s="134">
        <f t="shared" si="28"/>
        <v>0</v>
      </c>
      <c r="L129" s="105">
        <f t="shared" si="15"/>
        <v>0</v>
      </c>
      <c r="M129" s="87">
        <f t="shared" si="16"/>
        <v>0</v>
      </c>
      <c r="N129" s="87">
        <f t="shared" si="17"/>
        <v>0</v>
      </c>
      <c r="O129" s="87">
        <f t="shared" si="18"/>
        <v>0</v>
      </c>
      <c r="P129" s="88">
        <f t="shared" si="19"/>
        <v>0</v>
      </c>
    </row>
    <row r="130" spans="1:16" ht="13.2" x14ac:dyDescent="0.2">
      <c r="A130" s="160">
        <v>19</v>
      </c>
      <c r="B130" s="157"/>
      <c r="C130" s="164" t="s">
        <v>178</v>
      </c>
      <c r="D130" s="157" t="s">
        <v>165</v>
      </c>
      <c r="E130" s="162">
        <f>E128*4.5*1.5</f>
        <v>209.92500000000001</v>
      </c>
      <c r="F130" s="133"/>
      <c r="G130" s="134"/>
      <c r="H130" s="135"/>
      <c r="I130" s="134"/>
      <c r="J130" s="134"/>
      <c r="K130" s="134">
        <f t="shared" si="28"/>
        <v>0</v>
      </c>
      <c r="L130" s="105">
        <f t="shared" si="15"/>
        <v>0</v>
      </c>
      <c r="M130" s="87">
        <f t="shared" si="16"/>
        <v>0</v>
      </c>
      <c r="N130" s="87">
        <f t="shared" si="17"/>
        <v>0</v>
      </c>
      <c r="O130" s="87">
        <f t="shared" si="18"/>
        <v>0</v>
      </c>
      <c r="P130" s="88">
        <f t="shared" si="19"/>
        <v>0</v>
      </c>
    </row>
    <row r="131" spans="1:16" ht="13.2" x14ac:dyDescent="0.2">
      <c r="A131" s="160">
        <v>20</v>
      </c>
      <c r="B131" s="157"/>
      <c r="C131" s="164" t="s">
        <v>170</v>
      </c>
      <c r="D131" s="157" t="s">
        <v>70</v>
      </c>
      <c r="E131" s="162">
        <f>E128*1.2*2</f>
        <v>74.64</v>
      </c>
      <c r="F131" s="133"/>
      <c r="G131" s="134"/>
      <c r="H131" s="135"/>
      <c r="I131" s="134"/>
      <c r="J131" s="134"/>
      <c r="K131" s="134">
        <f t="shared" si="28"/>
        <v>0</v>
      </c>
      <c r="L131" s="105">
        <f t="shared" si="15"/>
        <v>0</v>
      </c>
      <c r="M131" s="87">
        <f t="shared" si="16"/>
        <v>0</v>
      </c>
      <c r="N131" s="87">
        <f t="shared" si="17"/>
        <v>0</v>
      </c>
      <c r="O131" s="87">
        <f t="shared" si="18"/>
        <v>0</v>
      </c>
      <c r="P131" s="88">
        <f t="shared" si="19"/>
        <v>0</v>
      </c>
    </row>
    <row r="132" spans="1:16" ht="13.2" x14ac:dyDescent="0.2">
      <c r="A132" s="160">
        <v>21</v>
      </c>
      <c r="B132" s="157" t="s">
        <v>56</v>
      </c>
      <c r="C132" s="163" t="s">
        <v>248</v>
      </c>
      <c r="D132" s="157" t="s">
        <v>70</v>
      </c>
      <c r="E132" s="162">
        <f>E122</f>
        <v>962</v>
      </c>
      <c r="F132" s="133"/>
      <c r="G132" s="134"/>
      <c r="H132" s="135">
        <f t="shared" ref="H132" si="31">ROUND(F132*G132,2)</f>
        <v>0</v>
      </c>
      <c r="I132" s="134"/>
      <c r="J132" s="134"/>
      <c r="K132" s="134">
        <f t="shared" si="28"/>
        <v>0</v>
      </c>
      <c r="L132" s="105">
        <f t="shared" si="15"/>
        <v>0</v>
      </c>
      <c r="M132" s="87">
        <f t="shared" si="16"/>
        <v>0</v>
      </c>
      <c r="N132" s="87">
        <f t="shared" si="17"/>
        <v>0</v>
      </c>
      <c r="O132" s="87">
        <f t="shared" si="18"/>
        <v>0</v>
      </c>
      <c r="P132" s="88">
        <f t="shared" si="19"/>
        <v>0</v>
      </c>
    </row>
    <row r="133" spans="1:16" ht="13.2" x14ac:dyDescent="0.2">
      <c r="A133" s="160">
        <v>22</v>
      </c>
      <c r="B133" s="157"/>
      <c r="C133" s="164" t="s">
        <v>255</v>
      </c>
      <c r="D133" s="157" t="s">
        <v>157</v>
      </c>
      <c r="E133" s="162">
        <f>E132*0.15</f>
        <v>144.29999999999998</v>
      </c>
      <c r="F133" s="133"/>
      <c r="G133" s="134"/>
      <c r="H133" s="135"/>
      <c r="I133" s="134"/>
      <c r="J133" s="134"/>
      <c r="K133" s="134">
        <f t="shared" si="28"/>
        <v>0</v>
      </c>
      <c r="L133" s="105">
        <f t="shared" si="15"/>
        <v>0</v>
      </c>
      <c r="M133" s="87">
        <f t="shared" si="16"/>
        <v>0</v>
      </c>
      <c r="N133" s="87">
        <f t="shared" si="17"/>
        <v>0</v>
      </c>
      <c r="O133" s="87">
        <f t="shared" si="18"/>
        <v>0</v>
      </c>
      <c r="P133" s="88">
        <f t="shared" si="19"/>
        <v>0</v>
      </c>
    </row>
    <row r="134" spans="1:16" ht="26.4" x14ac:dyDescent="0.2">
      <c r="A134" s="160">
        <v>23</v>
      </c>
      <c r="B134" s="157"/>
      <c r="C134" s="164" t="s">
        <v>250</v>
      </c>
      <c r="D134" s="157" t="s">
        <v>165</v>
      </c>
      <c r="E134" s="162">
        <f>E132*3.5</f>
        <v>3367</v>
      </c>
      <c r="F134" s="133"/>
      <c r="G134" s="134"/>
      <c r="H134" s="135"/>
      <c r="I134" s="134"/>
      <c r="J134" s="134"/>
      <c r="K134" s="134">
        <f t="shared" si="28"/>
        <v>0</v>
      </c>
      <c r="L134" s="105">
        <f t="shared" si="15"/>
        <v>0</v>
      </c>
      <c r="M134" s="87">
        <f t="shared" si="16"/>
        <v>0</v>
      </c>
      <c r="N134" s="87">
        <f t="shared" si="17"/>
        <v>0</v>
      </c>
      <c r="O134" s="87">
        <f t="shared" si="18"/>
        <v>0</v>
      </c>
      <c r="P134" s="88">
        <f t="shared" si="19"/>
        <v>0</v>
      </c>
    </row>
    <row r="135" spans="1:16" ht="26.4" x14ac:dyDescent="0.2">
      <c r="A135" s="165"/>
      <c r="B135" s="166"/>
      <c r="C135" s="167" t="s">
        <v>256</v>
      </c>
      <c r="D135" s="168"/>
      <c r="E135" s="169"/>
      <c r="F135" s="170"/>
      <c r="G135" s="171"/>
      <c r="H135" s="171"/>
      <c r="I135" s="171"/>
      <c r="J135" s="171"/>
      <c r="K135" s="171"/>
      <c r="L135" s="105"/>
      <c r="M135" s="87"/>
      <c r="N135" s="87"/>
      <c r="O135" s="87"/>
      <c r="P135" s="88"/>
    </row>
    <row r="136" spans="1:16" ht="39.6" x14ac:dyDescent="0.2">
      <c r="A136" s="160">
        <v>1</v>
      </c>
      <c r="B136" s="157" t="s">
        <v>56</v>
      </c>
      <c r="C136" s="163" t="s">
        <v>238</v>
      </c>
      <c r="D136" s="157" t="s">
        <v>70</v>
      </c>
      <c r="E136" s="172">
        <v>126.7</v>
      </c>
      <c r="F136" s="133"/>
      <c r="G136" s="134"/>
      <c r="H136" s="135">
        <f>ROUND(F136*G136,2)</f>
        <v>0</v>
      </c>
      <c r="I136" s="134"/>
      <c r="J136" s="134"/>
      <c r="K136" s="134">
        <f>ROUND(H136+J136+I136,2)</f>
        <v>0</v>
      </c>
      <c r="L136" s="105">
        <f t="shared" si="15"/>
        <v>0</v>
      </c>
      <c r="M136" s="87">
        <f t="shared" si="16"/>
        <v>0</v>
      </c>
      <c r="N136" s="87">
        <f t="shared" si="17"/>
        <v>0</v>
      </c>
      <c r="O136" s="87">
        <f t="shared" si="18"/>
        <v>0</v>
      </c>
      <c r="P136" s="88">
        <f t="shared" si="19"/>
        <v>0</v>
      </c>
    </row>
    <row r="137" spans="1:16" ht="13.2" x14ac:dyDescent="0.2">
      <c r="A137" s="160">
        <v>2</v>
      </c>
      <c r="B137" s="157"/>
      <c r="C137" s="164" t="s">
        <v>160</v>
      </c>
      <c r="D137" s="157" t="s">
        <v>157</v>
      </c>
      <c r="E137" s="162">
        <f>E136*0.12</f>
        <v>15.204000000000001</v>
      </c>
      <c r="F137" s="133"/>
      <c r="G137" s="134"/>
      <c r="H137" s="135"/>
      <c r="I137" s="134"/>
      <c r="J137" s="134"/>
      <c r="K137" s="134">
        <f t="shared" ref="K137:K138" si="32">ROUND(H137+J137+I137,2)</f>
        <v>0</v>
      </c>
      <c r="L137" s="105">
        <f t="shared" si="15"/>
        <v>0</v>
      </c>
      <c r="M137" s="87">
        <f t="shared" si="16"/>
        <v>0</v>
      </c>
      <c r="N137" s="87">
        <f t="shared" si="17"/>
        <v>0</v>
      </c>
      <c r="O137" s="87">
        <f t="shared" si="18"/>
        <v>0</v>
      </c>
      <c r="P137" s="88">
        <f t="shared" si="19"/>
        <v>0</v>
      </c>
    </row>
    <row r="138" spans="1:16" ht="26.4" x14ac:dyDescent="0.2">
      <c r="A138" s="160">
        <v>3</v>
      </c>
      <c r="B138" s="157"/>
      <c r="C138" s="164" t="s">
        <v>161</v>
      </c>
      <c r="D138" s="157" t="s">
        <v>162</v>
      </c>
      <c r="E138" s="173">
        <f>E136*5</f>
        <v>633.5</v>
      </c>
      <c r="F138" s="133"/>
      <c r="G138" s="134"/>
      <c r="H138" s="135"/>
      <c r="I138" s="134"/>
      <c r="J138" s="134"/>
      <c r="K138" s="134">
        <f t="shared" si="32"/>
        <v>0</v>
      </c>
      <c r="L138" s="105">
        <f t="shared" si="15"/>
        <v>0</v>
      </c>
      <c r="M138" s="87">
        <f t="shared" si="16"/>
        <v>0</v>
      </c>
      <c r="N138" s="87">
        <f t="shared" si="17"/>
        <v>0</v>
      </c>
      <c r="O138" s="87">
        <f t="shared" si="18"/>
        <v>0</v>
      </c>
      <c r="P138" s="88">
        <f t="shared" si="19"/>
        <v>0</v>
      </c>
    </row>
    <row r="139" spans="1:16" ht="13.2" x14ac:dyDescent="0.2">
      <c r="A139" s="160">
        <v>4</v>
      </c>
      <c r="B139" s="157" t="s">
        <v>56</v>
      </c>
      <c r="C139" s="163" t="s">
        <v>239</v>
      </c>
      <c r="D139" s="157" t="s">
        <v>70</v>
      </c>
      <c r="E139" s="162">
        <v>253.4</v>
      </c>
      <c r="F139" s="133"/>
      <c r="G139" s="134"/>
      <c r="H139" s="135">
        <f t="shared" ref="H139" si="33">ROUND(F139*G139,2)</f>
        <v>0</v>
      </c>
      <c r="I139" s="134"/>
      <c r="J139" s="134"/>
      <c r="K139" s="134">
        <f>ROUND(H139+J139+I139,2)</f>
        <v>0</v>
      </c>
      <c r="L139" s="105">
        <f t="shared" si="15"/>
        <v>0</v>
      </c>
      <c r="M139" s="87">
        <f t="shared" si="16"/>
        <v>0</v>
      </c>
      <c r="N139" s="87">
        <f t="shared" si="17"/>
        <v>0</v>
      </c>
      <c r="O139" s="87">
        <f t="shared" si="18"/>
        <v>0</v>
      </c>
      <c r="P139" s="88">
        <f t="shared" si="19"/>
        <v>0</v>
      </c>
    </row>
    <row r="140" spans="1:16" ht="13.2" x14ac:dyDescent="0.2">
      <c r="A140" s="160">
        <v>5</v>
      </c>
      <c r="B140" s="157"/>
      <c r="C140" s="164" t="s">
        <v>160</v>
      </c>
      <c r="D140" s="157" t="s">
        <v>157</v>
      </c>
      <c r="E140" s="162">
        <f>E139*0.12</f>
        <v>30.408000000000001</v>
      </c>
      <c r="F140" s="133"/>
      <c r="G140" s="134"/>
      <c r="H140" s="135"/>
      <c r="I140" s="134"/>
      <c r="J140" s="134"/>
      <c r="K140" s="134">
        <f t="shared" ref="K140:K152" si="34">ROUND(H140+J140+I140,2)</f>
        <v>0</v>
      </c>
      <c r="L140" s="105">
        <f t="shared" si="15"/>
        <v>0</v>
      </c>
      <c r="M140" s="87">
        <f t="shared" si="16"/>
        <v>0</v>
      </c>
      <c r="N140" s="87">
        <f t="shared" si="17"/>
        <v>0</v>
      </c>
      <c r="O140" s="87">
        <f t="shared" si="18"/>
        <v>0</v>
      </c>
      <c r="P140" s="88">
        <f t="shared" si="19"/>
        <v>0</v>
      </c>
    </row>
    <row r="141" spans="1:16" ht="13.2" x14ac:dyDescent="0.2">
      <c r="A141" s="160">
        <v>6</v>
      </c>
      <c r="B141" s="157"/>
      <c r="C141" s="164" t="s">
        <v>174</v>
      </c>
      <c r="D141" s="157" t="s">
        <v>165</v>
      </c>
      <c r="E141" s="173">
        <f>E139*5</f>
        <v>1267</v>
      </c>
      <c r="F141" s="133"/>
      <c r="G141" s="134"/>
      <c r="H141" s="135"/>
      <c r="I141" s="134"/>
      <c r="J141" s="134"/>
      <c r="K141" s="134">
        <f t="shared" si="34"/>
        <v>0</v>
      </c>
      <c r="L141" s="105">
        <f t="shared" si="15"/>
        <v>0</v>
      </c>
      <c r="M141" s="87">
        <f t="shared" si="16"/>
        <v>0</v>
      </c>
      <c r="N141" s="87">
        <f t="shared" si="17"/>
        <v>0</v>
      </c>
      <c r="O141" s="87">
        <f t="shared" si="18"/>
        <v>0</v>
      </c>
      <c r="P141" s="88">
        <f t="shared" si="19"/>
        <v>0</v>
      </c>
    </row>
    <row r="142" spans="1:16" ht="13.2" x14ac:dyDescent="0.2">
      <c r="A142" s="160">
        <v>7</v>
      </c>
      <c r="B142" s="157"/>
      <c r="C142" s="164" t="s">
        <v>240</v>
      </c>
      <c r="D142" s="157" t="s">
        <v>62</v>
      </c>
      <c r="E142" s="173">
        <f>ROUND(E139*8.15,0)</f>
        <v>2065</v>
      </c>
      <c r="F142" s="133"/>
      <c r="G142" s="134"/>
      <c r="H142" s="135"/>
      <c r="I142" s="134"/>
      <c r="J142" s="134"/>
      <c r="K142" s="134">
        <f t="shared" si="34"/>
        <v>0</v>
      </c>
      <c r="L142" s="105">
        <f t="shared" si="15"/>
        <v>0</v>
      </c>
      <c r="M142" s="87">
        <f t="shared" si="16"/>
        <v>0</v>
      </c>
      <c r="N142" s="87">
        <f t="shared" si="17"/>
        <v>0</v>
      </c>
      <c r="O142" s="87">
        <f t="shared" si="18"/>
        <v>0</v>
      </c>
      <c r="P142" s="88">
        <f t="shared" si="19"/>
        <v>0</v>
      </c>
    </row>
    <row r="143" spans="1:16" ht="13.2" x14ac:dyDescent="0.2">
      <c r="A143" s="160">
        <v>8</v>
      </c>
      <c r="B143" s="157"/>
      <c r="C143" s="164" t="s">
        <v>241</v>
      </c>
      <c r="D143" s="157" t="s">
        <v>62</v>
      </c>
      <c r="E143" s="162">
        <f>E142</f>
        <v>2065</v>
      </c>
      <c r="F143" s="133"/>
      <c r="G143" s="134"/>
      <c r="H143" s="135"/>
      <c r="I143" s="134"/>
      <c r="J143" s="134"/>
      <c r="K143" s="134">
        <f t="shared" si="34"/>
        <v>0</v>
      </c>
      <c r="L143" s="105">
        <f t="shared" si="15"/>
        <v>0</v>
      </c>
      <c r="M143" s="87">
        <f t="shared" si="16"/>
        <v>0</v>
      </c>
      <c r="N143" s="87">
        <f t="shared" si="17"/>
        <v>0</v>
      </c>
      <c r="O143" s="87">
        <f t="shared" si="18"/>
        <v>0</v>
      </c>
      <c r="P143" s="88">
        <f t="shared" si="19"/>
        <v>0</v>
      </c>
    </row>
    <row r="144" spans="1:16" ht="39.6" x14ac:dyDescent="0.2">
      <c r="A144" s="160">
        <v>9</v>
      </c>
      <c r="B144" s="157"/>
      <c r="C144" s="164" t="s">
        <v>242</v>
      </c>
      <c r="D144" s="157" t="s">
        <v>70</v>
      </c>
      <c r="E144" s="162">
        <f>E139*1.05</f>
        <v>266.07</v>
      </c>
      <c r="F144" s="133"/>
      <c r="G144" s="134"/>
      <c r="H144" s="135"/>
      <c r="I144" s="134"/>
      <c r="J144" s="134"/>
      <c r="K144" s="134">
        <f t="shared" si="34"/>
        <v>0</v>
      </c>
      <c r="L144" s="105">
        <f t="shared" ref="L144:L152" si="35">ROUND(E144*F144,2)</f>
        <v>0</v>
      </c>
      <c r="M144" s="87">
        <f t="shared" ref="M144:M152" si="36">ROUND(E144*H144,2)</f>
        <v>0</v>
      </c>
      <c r="N144" s="87">
        <f t="shared" ref="N144:N152" si="37">ROUND(E144*I144,2)</f>
        <v>0</v>
      </c>
      <c r="O144" s="87">
        <f t="shared" ref="O144:O152" si="38">ROUND(E144*J144,2)</f>
        <v>0</v>
      </c>
      <c r="P144" s="88">
        <f t="shared" ref="P144:P152" si="39">ROUND(O144+N144+M144,2)</f>
        <v>0</v>
      </c>
    </row>
    <row r="145" spans="1:16" ht="26.4" x14ac:dyDescent="0.2">
      <c r="A145" s="160">
        <v>10</v>
      </c>
      <c r="B145" s="157"/>
      <c r="C145" s="164" t="s">
        <v>243</v>
      </c>
      <c r="D145" s="157" t="s">
        <v>58</v>
      </c>
      <c r="E145" s="162">
        <f>13.2*1.05</f>
        <v>13.86</v>
      </c>
      <c r="F145" s="133"/>
      <c r="G145" s="134"/>
      <c r="H145" s="135"/>
      <c r="I145" s="134"/>
      <c r="J145" s="134"/>
      <c r="K145" s="134">
        <f t="shared" si="34"/>
        <v>0</v>
      </c>
      <c r="L145" s="105">
        <f t="shared" si="35"/>
        <v>0</v>
      </c>
      <c r="M145" s="87">
        <f t="shared" si="36"/>
        <v>0</v>
      </c>
      <c r="N145" s="87">
        <f t="shared" si="37"/>
        <v>0</v>
      </c>
      <c r="O145" s="87">
        <f t="shared" si="38"/>
        <v>0</v>
      </c>
      <c r="P145" s="88">
        <f t="shared" si="39"/>
        <v>0</v>
      </c>
    </row>
    <row r="146" spans="1:16" ht="13.2" x14ac:dyDescent="0.2">
      <c r="A146" s="160">
        <v>11</v>
      </c>
      <c r="B146" s="157" t="s">
        <v>56</v>
      </c>
      <c r="C146" s="163" t="s">
        <v>177</v>
      </c>
      <c r="D146" s="157" t="s">
        <v>70</v>
      </c>
      <c r="E146" s="162">
        <f>E139</f>
        <v>253.4</v>
      </c>
      <c r="F146" s="133"/>
      <c r="G146" s="134"/>
      <c r="H146" s="135">
        <f t="shared" ref="H146" si="40">ROUND(F146*G146,2)</f>
        <v>0</v>
      </c>
      <c r="I146" s="134"/>
      <c r="J146" s="134"/>
      <c r="K146" s="134">
        <f t="shared" si="34"/>
        <v>0</v>
      </c>
      <c r="L146" s="105">
        <f t="shared" si="35"/>
        <v>0</v>
      </c>
      <c r="M146" s="87">
        <f t="shared" si="36"/>
        <v>0</v>
      </c>
      <c r="N146" s="87">
        <f t="shared" si="37"/>
        <v>0</v>
      </c>
      <c r="O146" s="87">
        <f t="shared" si="38"/>
        <v>0</v>
      </c>
      <c r="P146" s="88">
        <f t="shared" si="39"/>
        <v>0</v>
      </c>
    </row>
    <row r="147" spans="1:16" ht="13.2" x14ac:dyDescent="0.2">
      <c r="A147" s="160">
        <v>12</v>
      </c>
      <c r="B147" s="157"/>
      <c r="C147" s="164" t="s">
        <v>160</v>
      </c>
      <c r="D147" s="157" t="s">
        <v>157</v>
      </c>
      <c r="E147" s="162">
        <f>E146*0.12</f>
        <v>30.408000000000001</v>
      </c>
      <c r="F147" s="133"/>
      <c r="G147" s="134"/>
      <c r="H147" s="135"/>
      <c r="I147" s="134"/>
      <c r="J147" s="134"/>
      <c r="K147" s="134">
        <f t="shared" si="34"/>
        <v>0</v>
      </c>
      <c r="L147" s="105">
        <f t="shared" si="35"/>
        <v>0</v>
      </c>
      <c r="M147" s="87">
        <f t="shared" si="36"/>
        <v>0</v>
      </c>
      <c r="N147" s="87">
        <f t="shared" si="37"/>
        <v>0</v>
      </c>
      <c r="O147" s="87">
        <f t="shared" si="38"/>
        <v>0</v>
      </c>
      <c r="P147" s="88">
        <f t="shared" si="39"/>
        <v>0</v>
      </c>
    </row>
    <row r="148" spans="1:16" ht="13.2" x14ac:dyDescent="0.2">
      <c r="A148" s="160">
        <v>13</v>
      </c>
      <c r="B148" s="157"/>
      <c r="C148" s="164" t="s">
        <v>178</v>
      </c>
      <c r="D148" s="157" t="s">
        <v>165</v>
      </c>
      <c r="E148" s="173">
        <f>E146*4.5</f>
        <v>1140.3</v>
      </c>
      <c r="F148" s="133"/>
      <c r="G148" s="134"/>
      <c r="H148" s="135"/>
      <c r="I148" s="134"/>
      <c r="J148" s="134"/>
      <c r="K148" s="134">
        <f t="shared" si="34"/>
        <v>0</v>
      </c>
      <c r="L148" s="105">
        <f t="shared" si="35"/>
        <v>0</v>
      </c>
      <c r="M148" s="87">
        <f t="shared" si="36"/>
        <v>0</v>
      </c>
      <c r="N148" s="87">
        <f t="shared" si="37"/>
        <v>0</v>
      </c>
      <c r="O148" s="87">
        <f t="shared" si="38"/>
        <v>0</v>
      </c>
      <c r="P148" s="88">
        <f t="shared" si="39"/>
        <v>0</v>
      </c>
    </row>
    <row r="149" spans="1:16" ht="13.2" x14ac:dyDescent="0.2">
      <c r="A149" s="160">
        <v>14</v>
      </c>
      <c r="B149" s="157"/>
      <c r="C149" s="164" t="s">
        <v>170</v>
      </c>
      <c r="D149" s="157" t="s">
        <v>70</v>
      </c>
      <c r="E149" s="162">
        <f>E146*1.2</f>
        <v>304.08</v>
      </c>
      <c r="F149" s="133"/>
      <c r="G149" s="134"/>
      <c r="H149" s="135"/>
      <c r="I149" s="134"/>
      <c r="J149" s="134"/>
      <c r="K149" s="134">
        <f t="shared" si="34"/>
        <v>0</v>
      </c>
      <c r="L149" s="105">
        <f t="shared" si="35"/>
        <v>0</v>
      </c>
      <c r="M149" s="87">
        <f t="shared" si="36"/>
        <v>0</v>
      </c>
      <c r="N149" s="87">
        <f t="shared" si="37"/>
        <v>0</v>
      </c>
      <c r="O149" s="87">
        <f t="shared" si="38"/>
        <v>0</v>
      </c>
      <c r="P149" s="88">
        <f t="shared" si="39"/>
        <v>0</v>
      </c>
    </row>
    <row r="150" spans="1:16" ht="13.2" x14ac:dyDescent="0.2">
      <c r="A150" s="160">
        <v>15</v>
      </c>
      <c r="B150" s="157" t="s">
        <v>56</v>
      </c>
      <c r="C150" s="163" t="s">
        <v>248</v>
      </c>
      <c r="D150" s="157" t="s">
        <v>70</v>
      </c>
      <c r="E150" s="162">
        <f>E146</f>
        <v>253.4</v>
      </c>
      <c r="F150" s="133"/>
      <c r="G150" s="134"/>
      <c r="H150" s="135">
        <f t="shared" ref="H150" si="41">ROUND(F150*G150,2)</f>
        <v>0</v>
      </c>
      <c r="I150" s="134"/>
      <c r="J150" s="134"/>
      <c r="K150" s="134">
        <f t="shared" si="34"/>
        <v>0</v>
      </c>
      <c r="L150" s="105">
        <f t="shared" si="35"/>
        <v>0</v>
      </c>
      <c r="M150" s="87">
        <f t="shared" si="36"/>
        <v>0</v>
      </c>
      <c r="N150" s="87">
        <f t="shared" si="37"/>
        <v>0</v>
      </c>
      <c r="O150" s="87">
        <f t="shared" si="38"/>
        <v>0</v>
      </c>
      <c r="P150" s="88">
        <f t="shared" si="39"/>
        <v>0</v>
      </c>
    </row>
    <row r="151" spans="1:16" ht="13.2" x14ac:dyDescent="0.2">
      <c r="A151" s="160">
        <v>16</v>
      </c>
      <c r="B151" s="157"/>
      <c r="C151" s="164" t="s">
        <v>255</v>
      </c>
      <c r="D151" s="157" t="s">
        <v>157</v>
      </c>
      <c r="E151" s="162">
        <f>E150*0.15</f>
        <v>38.01</v>
      </c>
      <c r="F151" s="133"/>
      <c r="G151" s="134"/>
      <c r="H151" s="135"/>
      <c r="I151" s="134"/>
      <c r="J151" s="134"/>
      <c r="K151" s="134">
        <f t="shared" si="34"/>
        <v>0</v>
      </c>
      <c r="L151" s="105">
        <f t="shared" si="35"/>
        <v>0</v>
      </c>
      <c r="M151" s="87">
        <f t="shared" si="36"/>
        <v>0</v>
      </c>
      <c r="N151" s="87">
        <f t="shared" si="37"/>
        <v>0</v>
      </c>
      <c r="O151" s="87">
        <f t="shared" si="38"/>
        <v>0</v>
      </c>
      <c r="P151" s="88">
        <f t="shared" si="39"/>
        <v>0</v>
      </c>
    </row>
    <row r="152" spans="1:16" ht="26.4" x14ac:dyDescent="0.2">
      <c r="A152" s="160">
        <v>17</v>
      </c>
      <c r="B152" s="157"/>
      <c r="C152" s="164" t="s">
        <v>250</v>
      </c>
      <c r="D152" s="157" t="s">
        <v>165</v>
      </c>
      <c r="E152" s="162">
        <f>E150*3.5</f>
        <v>886.9</v>
      </c>
      <c r="F152" s="133"/>
      <c r="G152" s="134"/>
      <c r="H152" s="135"/>
      <c r="I152" s="134"/>
      <c r="J152" s="134"/>
      <c r="K152" s="134">
        <f t="shared" si="34"/>
        <v>0</v>
      </c>
      <c r="L152" s="105">
        <f t="shared" si="35"/>
        <v>0</v>
      </c>
      <c r="M152" s="87">
        <f t="shared" si="36"/>
        <v>0</v>
      </c>
      <c r="N152" s="87">
        <f t="shared" si="37"/>
        <v>0</v>
      </c>
      <c r="O152" s="87">
        <f t="shared" si="38"/>
        <v>0</v>
      </c>
      <c r="P152" s="88">
        <f t="shared" si="39"/>
        <v>0</v>
      </c>
    </row>
    <row r="153" spans="1:16" ht="26.4" x14ac:dyDescent="0.2">
      <c r="A153" s="137"/>
      <c r="B153" s="138"/>
      <c r="C153" s="139" t="s">
        <v>257</v>
      </c>
      <c r="D153" s="140"/>
      <c r="E153" s="141"/>
      <c r="F153" s="142"/>
      <c r="G153" s="134"/>
      <c r="H153" s="135"/>
      <c r="I153" s="143"/>
      <c r="J153" s="143"/>
      <c r="K153" s="143"/>
      <c r="L153" s="105"/>
      <c r="M153" s="87"/>
      <c r="N153" s="87"/>
      <c r="O153" s="87"/>
      <c r="P153" s="88"/>
    </row>
    <row r="154" spans="1:16" ht="26.4" x14ac:dyDescent="0.2">
      <c r="A154" s="160">
        <v>1</v>
      </c>
      <c r="B154" s="157" t="s">
        <v>56</v>
      </c>
      <c r="C154" s="161" t="s">
        <v>258</v>
      </c>
      <c r="D154" s="157" t="s">
        <v>60</v>
      </c>
      <c r="E154" s="162">
        <v>5</v>
      </c>
      <c r="F154" s="133"/>
      <c r="G154" s="134"/>
      <c r="H154" s="135">
        <f>ROUND(F154*G154,2)</f>
        <v>0</v>
      </c>
      <c r="I154" s="134"/>
      <c r="J154" s="134"/>
      <c r="K154" s="134">
        <f t="shared" ref="K154:K155" si="42">ROUND(H154+J154+I154,2)</f>
        <v>0</v>
      </c>
      <c r="L154" s="105">
        <f t="shared" ref="L154:L155" si="43">ROUND(E154*F154,2)</f>
        <v>0</v>
      </c>
      <c r="M154" s="87">
        <f t="shared" ref="M154:M155" si="44">ROUND(E154*H154,2)</f>
        <v>0</v>
      </c>
      <c r="N154" s="87">
        <f t="shared" ref="N154:N155" si="45">ROUND(E154*I154,2)</f>
        <v>0</v>
      </c>
      <c r="O154" s="87">
        <f t="shared" ref="O154:O155" si="46">ROUND(E154*J154,2)</f>
        <v>0</v>
      </c>
      <c r="P154" s="88">
        <f t="shared" ref="P154:P155" si="47">ROUND(O154+N154+M154,2)</f>
        <v>0</v>
      </c>
    </row>
    <row r="155" spans="1:16" ht="26.4" x14ac:dyDescent="0.2">
      <c r="A155" s="160">
        <v>2</v>
      </c>
      <c r="B155" s="157" t="s">
        <v>56</v>
      </c>
      <c r="C155" s="161" t="s">
        <v>259</v>
      </c>
      <c r="D155" s="157" t="s">
        <v>60</v>
      </c>
      <c r="E155" s="162">
        <v>5</v>
      </c>
      <c r="F155" s="133"/>
      <c r="G155" s="134"/>
      <c r="H155" s="135">
        <f>ROUND(F155*G155,2)</f>
        <v>0</v>
      </c>
      <c r="I155" s="134"/>
      <c r="J155" s="134"/>
      <c r="K155" s="134">
        <f t="shared" si="42"/>
        <v>0</v>
      </c>
      <c r="L155" s="105">
        <f t="shared" si="43"/>
        <v>0</v>
      </c>
      <c r="M155" s="87">
        <f t="shared" si="44"/>
        <v>0</v>
      </c>
      <c r="N155" s="87">
        <f t="shared" si="45"/>
        <v>0</v>
      </c>
      <c r="O155" s="87">
        <f t="shared" si="46"/>
        <v>0</v>
      </c>
      <c r="P155" s="88">
        <f t="shared" si="47"/>
        <v>0</v>
      </c>
    </row>
    <row r="156" spans="1:16" ht="26.4" x14ac:dyDescent="0.2">
      <c r="A156" s="160"/>
      <c r="B156" s="157"/>
      <c r="C156" s="139" t="s">
        <v>260</v>
      </c>
      <c r="D156" s="157"/>
      <c r="E156" s="162"/>
      <c r="F156" s="133"/>
      <c r="G156" s="134"/>
      <c r="H156" s="135"/>
      <c r="I156" s="134"/>
      <c r="J156" s="134"/>
      <c r="K156" s="134"/>
      <c r="L156" s="105"/>
      <c r="M156" s="87"/>
      <c r="N156" s="87"/>
      <c r="O156" s="87"/>
      <c r="P156" s="88"/>
    </row>
    <row r="157" spans="1:16" ht="26.4" x14ac:dyDescent="0.2">
      <c r="A157" s="160">
        <v>1</v>
      </c>
      <c r="B157" s="157" t="s">
        <v>56</v>
      </c>
      <c r="C157" s="163" t="s">
        <v>261</v>
      </c>
      <c r="D157" s="157" t="s">
        <v>262</v>
      </c>
      <c r="E157" s="162">
        <v>7</v>
      </c>
      <c r="F157" s="133"/>
      <c r="G157" s="134"/>
      <c r="H157" s="135">
        <f t="shared" ref="H157" si="48">ROUND(F157*G157,2)</f>
        <v>0</v>
      </c>
      <c r="I157" s="134"/>
      <c r="J157" s="134"/>
      <c r="K157" s="134">
        <f t="shared" ref="K157" si="49">ROUND(H157+J157+I157,2)</f>
        <v>0</v>
      </c>
      <c r="L157" s="105">
        <f t="shared" ref="L157:L181" si="50">ROUND(E157*F157,2)</f>
        <v>0</v>
      </c>
      <c r="M157" s="87">
        <f t="shared" ref="M157:M181" si="51">ROUND(E157*H157,2)</f>
        <v>0</v>
      </c>
      <c r="N157" s="87">
        <f t="shared" ref="N157:N181" si="52">ROUND(E157*I157,2)</f>
        <v>0</v>
      </c>
      <c r="O157" s="87">
        <f t="shared" ref="O157:O181" si="53">ROUND(E157*J157,2)</f>
        <v>0</v>
      </c>
      <c r="P157" s="88">
        <f t="shared" ref="P157:P181" si="54">ROUND(O157+N157+M157,2)</f>
        <v>0</v>
      </c>
    </row>
    <row r="158" spans="1:16" ht="13.2" x14ac:dyDescent="0.2">
      <c r="A158" s="160"/>
      <c r="B158" s="157"/>
      <c r="C158" s="188" t="s">
        <v>263</v>
      </c>
      <c r="D158" s="157"/>
      <c r="E158" s="162"/>
      <c r="F158" s="133"/>
      <c r="G158" s="134"/>
      <c r="H158" s="135"/>
      <c r="I158" s="134"/>
      <c r="J158" s="134"/>
      <c r="K158" s="134"/>
      <c r="L158" s="105"/>
      <c r="M158" s="87"/>
      <c r="N158" s="87"/>
      <c r="O158" s="87"/>
      <c r="P158" s="88"/>
    </row>
    <row r="159" spans="1:16" ht="13.2" x14ac:dyDescent="0.2">
      <c r="A159" s="160">
        <v>1</v>
      </c>
      <c r="B159" s="157" t="s">
        <v>56</v>
      </c>
      <c r="C159" s="163" t="s">
        <v>264</v>
      </c>
      <c r="D159" s="157" t="s">
        <v>58</v>
      </c>
      <c r="E159" s="162">
        <v>618</v>
      </c>
      <c r="F159" s="133"/>
      <c r="G159" s="134"/>
      <c r="H159" s="135">
        <f t="shared" ref="H159:H162" si="55">ROUND(F159*G159,2)</f>
        <v>0</v>
      </c>
      <c r="I159" s="134"/>
      <c r="J159" s="134"/>
      <c r="K159" s="134"/>
      <c r="L159" s="105">
        <f t="shared" si="50"/>
        <v>0</v>
      </c>
      <c r="M159" s="87">
        <f t="shared" si="51"/>
        <v>0</v>
      </c>
      <c r="N159" s="87">
        <f t="shared" si="52"/>
        <v>0</v>
      </c>
      <c r="O159" s="87">
        <f t="shared" si="53"/>
        <v>0</v>
      </c>
      <c r="P159" s="88">
        <f t="shared" si="54"/>
        <v>0</v>
      </c>
    </row>
    <row r="160" spans="1:16" ht="26.4" x14ac:dyDescent="0.2">
      <c r="A160" s="152">
        <v>2</v>
      </c>
      <c r="B160" s="157" t="s">
        <v>56</v>
      </c>
      <c r="C160" s="163" t="s">
        <v>265</v>
      </c>
      <c r="D160" s="157" t="s">
        <v>58</v>
      </c>
      <c r="E160" s="162">
        <f>224</f>
        <v>224</v>
      </c>
      <c r="F160" s="133"/>
      <c r="G160" s="134"/>
      <c r="H160" s="135">
        <f t="shared" si="55"/>
        <v>0</v>
      </c>
      <c r="I160" s="134"/>
      <c r="J160" s="134"/>
      <c r="K160" s="134">
        <f t="shared" ref="K160:K162" si="56">ROUND(H160+J160+I160,2)</f>
        <v>0</v>
      </c>
      <c r="L160" s="105">
        <f t="shared" si="50"/>
        <v>0</v>
      </c>
      <c r="M160" s="87">
        <f t="shared" si="51"/>
        <v>0</v>
      </c>
      <c r="N160" s="87">
        <f t="shared" si="52"/>
        <v>0</v>
      </c>
      <c r="O160" s="87">
        <f t="shared" si="53"/>
        <v>0</v>
      </c>
      <c r="P160" s="88">
        <f t="shared" si="54"/>
        <v>0</v>
      </c>
    </row>
    <row r="161" spans="1:16" ht="13.2" x14ac:dyDescent="0.2">
      <c r="A161" s="152">
        <v>3</v>
      </c>
      <c r="B161" s="157" t="s">
        <v>56</v>
      </c>
      <c r="C161" s="163" t="s">
        <v>266</v>
      </c>
      <c r="D161" s="157" t="s">
        <v>58</v>
      </c>
      <c r="E161" s="162">
        <f>E159</f>
        <v>618</v>
      </c>
      <c r="F161" s="133"/>
      <c r="G161" s="134"/>
      <c r="H161" s="135">
        <f t="shared" si="55"/>
        <v>0</v>
      </c>
      <c r="I161" s="134"/>
      <c r="J161" s="134"/>
      <c r="K161" s="134">
        <f t="shared" si="56"/>
        <v>0</v>
      </c>
      <c r="L161" s="105">
        <f t="shared" si="50"/>
        <v>0</v>
      </c>
      <c r="M161" s="87">
        <f t="shared" si="51"/>
        <v>0</v>
      </c>
      <c r="N161" s="87">
        <f t="shared" si="52"/>
        <v>0</v>
      </c>
      <c r="O161" s="87">
        <f t="shared" si="53"/>
        <v>0</v>
      </c>
      <c r="P161" s="88">
        <f t="shared" si="54"/>
        <v>0</v>
      </c>
    </row>
    <row r="162" spans="1:16" ht="13.2" x14ac:dyDescent="0.2">
      <c r="A162" s="160">
        <v>4</v>
      </c>
      <c r="B162" s="157" t="s">
        <v>56</v>
      </c>
      <c r="C162" s="163" t="s">
        <v>267</v>
      </c>
      <c r="D162" s="157" t="s">
        <v>70</v>
      </c>
      <c r="E162" s="162">
        <f>218.7</f>
        <v>218.7</v>
      </c>
      <c r="F162" s="133"/>
      <c r="G162" s="134"/>
      <c r="H162" s="135">
        <f t="shared" si="55"/>
        <v>0</v>
      </c>
      <c r="I162" s="134"/>
      <c r="J162" s="134"/>
      <c r="K162" s="134">
        <f t="shared" si="56"/>
        <v>0</v>
      </c>
      <c r="L162" s="105">
        <f t="shared" si="50"/>
        <v>0</v>
      </c>
      <c r="M162" s="87">
        <f t="shared" si="51"/>
        <v>0</v>
      </c>
      <c r="N162" s="87">
        <f t="shared" si="52"/>
        <v>0</v>
      </c>
      <c r="O162" s="87">
        <f t="shared" si="53"/>
        <v>0</v>
      </c>
      <c r="P162" s="88">
        <f t="shared" si="54"/>
        <v>0</v>
      </c>
    </row>
    <row r="163" spans="1:16" ht="13.2" x14ac:dyDescent="0.2">
      <c r="A163" s="152">
        <v>5</v>
      </c>
      <c r="B163" s="157"/>
      <c r="C163" s="164" t="s">
        <v>160</v>
      </c>
      <c r="D163" s="157" t="s">
        <v>157</v>
      </c>
      <c r="E163" s="162">
        <f>E162*0.12</f>
        <v>26.243999999999996</v>
      </c>
      <c r="F163" s="133"/>
      <c r="G163" s="134"/>
      <c r="H163" s="135"/>
      <c r="I163" s="134"/>
      <c r="J163" s="134"/>
      <c r="K163" s="134">
        <f>ROUND(H163+J163+I163,2)</f>
        <v>0</v>
      </c>
      <c r="L163" s="105">
        <f t="shared" si="50"/>
        <v>0</v>
      </c>
      <c r="M163" s="87">
        <f t="shared" si="51"/>
        <v>0</v>
      </c>
      <c r="N163" s="87">
        <f t="shared" si="52"/>
        <v>0</v>
      </c>
      <c r="O163" s="87">
        <f t="shared" si="53"/>
        <v>0</v>
      </c>
      <c r="P163" s="88">
        <f t="shared" si="54"/>
        <v>0</v>
      </c>
    </row>
    <row r="164" spans="1:16" ht="13.2" x14ac:dyDescent="0.2">
      <c r="A164" s="152">
        <v>6</v>
      </c>
      <c r="B164" s="157"/>
      <c r="C164" s="164" t="s">
        <v>174</v>
      </c>
      <c r="D164" s="157" t="s">
        <v>165</v>
      </c>
      <c r="E164" s="173">
        <f>E162*5</f>
        <v>1093.5</v>
      </c>
      <c r="F164" s="133"/>
      <c r="G164" s="134"/>
      <c r="H164" s="135"/>
      <c r="I164" s="134"/>
      <c r="J164" s="134"/>
      <c r="K164" s="134">
        <f>ROUND(H164+J164+I164,2)</f>
        <v>0</v>
      </c>
      <c r="L164" s="105">
        <f t="shared" si="50"/>
        <v>0</v>
      </c>
      <c r="M164" s="87">
        <f t="shared" si="51"/>
        <v>0</v>
      </c>
      <c r="N164" s="87">
        <f t="shared" si="52"/>
        <v>0</v>
      </c>
      <c r="O164" s="87">
        <f t="shared" si="53"/>
        <v>0</v>
      </c>
      <c r="P164" s="88">
        <f t="shared" si="54"/>
        <v>0</v>
      </c>
    </row>
    <row r="165" spans="1:16" ht="26.4" x14ac:dyDescent="0.2">
      <c r="A165" s="160">
        <v>7</v>
      </c>
      <c r="B165" s="157"/>
      <c r="C165" s="164" t="s">
        <v>268</v>
      </c>
      <c r="D165" s="157" t="s">
        <v>70</v>
      </c>
      <c r="E165" s="162">
        <f>E162*1.05</f>
        <v>229.63499999999999</v>
      </c>
      <c r="F165" s="133"/>
      <c r="G165" s="134"/>
      <c r="H165" s="135"/>
      <c r="I165" s="134"/>
      <c r="J165" s="134"/>
      <c r="K165" s="134">
        <f>ROUND(H165+J165+I165,2)</f>
        <v>0</v>
      </c>
      <c r="L165" s="105">
        <f t="shared" si="50"/>
        <v>0</v>
      </c>
      <c r="M165" s="87">
        <f t="shared" si="51"/>
        <v>0</v>
      </c>
      <c r="N165" s="87">
        <f t="shared" si="52"/>
        <v>0</v>
      </c>
      <c r="O165" s="87">
        <f t="shared" si="53"/>
        <v>0</v>
      </c>
      <c r="P165" s="88">
        <f t="shared" si="54"/>
        <v>0</v>
      </c>
    </row>
    <row r="166" spans="1:16" ht="13.2" x14ac:dyDescent="0.2">
      <c r="A166" s="152">
        <v>8</v>
      </c>
      <c r="B166" s="157" t="s">
        <v>56</v>
      </c>
      <c r="C166" s="163" t="s">
        <v>177</v>
      </c>
      <c r="D166" s="157" t="s">
        <v>70</v>
      </c>
      <c r="E166" s="162">
        <v>210.3</v>
      </c>
      <c r="F166" s="133"/>
      <c r="G166" s="134"/>
      <c r="H166" s="135">
        <f t="shared" ref="H166" si="57">ROUND(F166*G166,2)</f>
        <v>0</v>
      </c>
      <c r="I166" s="134"/>
      <c r="J166" s="134"/>
      <c r="K166" s="134">
        <f t="shared" ref="K166:K173" si="58">ROUND(H166+J166+I166,2)</f>
        <v>0</v>
      </c>
      <c r="L166" s="105">
        <f t="shared" si="50"/>
        <v>0</v>
      </c>
      <c r="M166" s="87">
        <f t="shared" si="51"/>
        <v>0</v>
      </c>
      <c r="N166" s="87">
        <f t="shared" si="52"/>
        <v>0</v>
      </c>
      <c r="O166" s="87">
        <f t="shared" si="53"/>
        <v>0</v>
      </c>
      <c r="P166" s="88">
        <f t="shared" si="54"/>
        <v>0</v>
      </c>
    </row>
    <row r="167" spans="1:16" ht="13.2" x14ac:dyDescent="0.2">
      <c r="A167" s="160">
        <v>9</v>
      </c>
      <c r="B167" s="157"/>
      <c r="C167" s="164" t="s">
        <v>160</v>
      </c>
      <c r="D167" s="157" t="s">
        <v>157</v>
      </c>
      <c r="E167" s="162">
        <f>E166*0.12</f>
        <v>25.236000000000001</v>
      </c>
      <c r="F167" s="133"/>
      <c r="G167" s="134"/>
      <c r="H167" s="135"/>
      <c r="I167" s="134"/>
      <c r="J167" s="134"/>
      <c r="K167" s="134">
        <f t="shared" si="58"/>
        <v>0</v>
      </c>
      <c r="L167" s="105">
        <f t="shared" si="50"/>
        <v>0</v>
      </c>
      <c r="M167" s="87">
        <f t="shared" si="51"/>
        <v>0</v>
      </c>
      <c r="N167" s="87">
        <f t="shared" si="52"/>
        <v>0</v>
      </c>
      <c r="O167" s="87">
        <f t="shared" si="53"/>
        <v>0</v>
      </c>
      <c r="P167" s="88">
        <f t="shared" si="54"/>
        <v>0</v>
      </c>
    </row>
    <row r="168" spans="1:16" ht="13.2" x14ac:dyDescent="0.2">
      <c r="A168" s="152">
        <v>10</v>
      </c>
      <c r="B168" s="157"/>
      <c r="C168" s="164" t="s">
        <v>178</v>
      </c>
      <c r="D168" s="157" t="s">
        <v>165</v>
      </c>
      <c r="E168" s="173">
        <f>E166*4.5</f>
        <v>946.35</v>
      </c>
      <c r="F168" s="133"/>
      <c r="G168" s="134"/>
      <c r="H168" s="135"/>
      <c r="I168" s="134"/>
      <c r="J168" s="134"/>
      <c r="K168" s="134">
        <f t="shared" si="58"/>
        <v>0</v>
      </c>
      <c r="L168" s="105">
        <f t="shared" si="50"/>
        <v>0</v>
      </c>
      <c r="M168" s="87">
        <f t="shared" si="51"/>
        <v>0</v>
      </c>
      <c r="N168" s="87">
        <f t="shared" si="52"/>
        <v>0</v>
      </c>
      <c r="O168" s="87">
        <f t="shared" si="53"/>
        <v>0</v>
      </c>
      <c r="P168" s="88">
        <f t="shared" si="54"/>
        <v>0</v>
      </c>
    </row>
    <row r="169" spans="1:16" ht="13.2" x14ac:dyDescent="0.2">
      <c r="A169" s="152">
        <v>11</v>
      </c>
      <c r="B169" s="157"/>
      <c r="C169" s="164" t="s">
        <v>170</v>
      </c>
      <c r="D169" s="157" t="s">
        <v>70</v>
      </c>
      <c r="E169" s="162">
        <f>E166*1.2</f>
        <v>252.36</v>
      </c>
      <c r="F169" s="133"/>
      <c r="G169" s="134"/>
      <c r="H169" s="135"/>
      <c r="I169" s="134"/>
      <c r="J169" s="134"/>
      <c r="K169" s="134">
        <f t="shared" si="58"/>
        <v>0</v>
      </c>
      <c r="L169" s="105">
        <f t="shared" si="50"/>
        <v>0</v>
      </c>
      <c r="M169" s="87">
        <f t="shared" si="51"/>
        <v>0</v>
      </c>
      <c r="N169" s="87">
        <f t="shared" si="52"/>
        <v>0</v>
      </c>
      <c r="O169" s="87">
        <f t="shared" si="53"/>
        <v>0</v>
      </c>
      <c r="P169" s="88">
        <f t="shared" si="54"/>
        <v>0</v>
      </c>
    </row>
    <row r="170" spans="1:16" ht="13.2" x14ac:dyDescent="0.2">
      <c r="A170" s="160">
        <v>12</v>
      </c>
      <c r="B170" s="157" t="s">
        <v>56</v>
      </c>
      <c r="C170" s="163" t="s">
        <v>248</v>
      </c>
      <c r="D170" s="157" t="s">
        <v>70</v>
      </c>
      <c r="E170" s="162">
        <v>154.5</v>
      </c>
      <c r="F170" s="133"/>
      <c r="G170" s="134"/>
      <c r="H170" s="135">
        <f t="shared" ref="H170" si="59">ROUND(F170*G170,2)</f>
        <v>0</v>
      </c>
      <c r="I170" s="134"/>
      <c r="J170" s="134"/>
      <c r="K170" s="134">
        <f t="shared" si="58"/>
        <v>0</v>
      </c>
      <c r="L170" s="105">
        <f t="shared" si="50"/>
        <v>0</v>
      </c>
      <c r="M170" s="87">
        <f t="shared" si="51"/>
        <v>0</v>
      </c>
      <c r="N170" s="87">
        <f t="shared" si="52"/>
        <v>0</v>
      </c>
      <c r="O170" s="87">
        <f t="shared" si="53"/>
        <v>0</v>
      </c>
      <c r="P170" s="88">
        <f t="shared" si="54"/>
        <v>0</v>
      </c>
    </row>
    <row r="171" spans="1:16" ht="13.2" x14ac:dyDescent="0.2">
      <c r="A171" s="152">
        <v>13</v>
      </c>
      <c r="B171" s="157"/>
      <c r="C171" s="164" t="s">
        <v>269</v>
      </c>
      <c r="D171" s="157" t="s">
        <v>157</v>
      </c>
      <c r="E171" s="162">
        <f>E170*0.15</f>
        <v>23.175000000000001</v>
      </c>
      <c r="F171" s="133"/>
      <c r="G171" s="134"/>
      <c r="H171" s="135"/>
      <c r="I171" s="134"/>
      <c r="J171" s="134"/>
      <c r="K171" s="134">
        <f t="shared" si="58"/>
        <v>0</v>
      </c>
      <c r="L171" s="105">
        <f t="shared" si="50"/>
        <v>0</v>
      </c>
      <c r="M171" s="87">
        <f t="shared" si="51"/>
        <v>0</v>
      </c>
      <c r="N171" s="87">
        <f t="shared" si="52"/>
        <v>0</v>
      </c>
      <c r="O171" s="87">
        <f t="shared" si="53"/>
        <v>0</v>
      </c>
      <c r="P171" s="88">
        <f t="shared" si="54"/>
        <v>0</v>
      </c>
    </row>
    <row r="172" spans="1:16" ht="26.4" x14ac:dyDescent="0.2">
      <c r="A172" s="160">
        <v>14</v>
      </c>
      <c r="B172" s="157"/>
      <c r="C172" s="164" t="s">
        <v>270</v>
      </c>
      <c r="D172" s="157" t="s">
        <v>165</v>
      </c>
      <c r="E172" s="162">
        <f>E170*3.5</f>
        <v>540.75</v>
      </c>
      <c r="F172" s="133"/>
      <c r="G172" s="134"/>
      <c r="H172" s="135"/>
      <c r="I172" s="134"/>
      <c r="J172" s="134"/>
      <c r="K172" s="134">
        <f t="shared" si="58"/>
        <v>0</v>
      </c>
      <c r="L172" s="105">
        <f t="shared" si="50"/>
        <v>0</v>
      </c>
      <c r="M172" s="87">
        <f t="shared" si="51"/>
        <v>0</v>
      </c>
      <c r="N172" s="87">
        <f t="shared" si="52"/>
        <v>0</v>
      </c>
      <c r="O172" s="87">
        <f t="shared" si="53"/>
        <v>0</v>
      </c>
      <c r="P172" s="88">
        <f t="shared" si="54"/>
        <v>0</v>
      </c>
    </row>
    <row r="173" spans="1:16" ht="13.2" x14ac:dyDescent="0.2">
      <c r="A173" s="152">
        <v>15</v>
      </c>
      <c r="B173" s="157" t="s">
        <v>56</v>
      </c>
      <c r="C173" s="163" t="s">
        <v>196</v>
      </c>
      <c r="D173" s="157" t="s">
        <v>60</v>
      </c>
      <c r="E173" s="162">
        <v>1</v>
      </c>
      <c r="F173" s="133"/>
      <c r="G173" s="134"/>
      <c r="H173" s="135">
        <f t="shared" ref="H173" si="60">ROUND(F173*G173,2)</f>
        <v>0</v>
      </c>
      <c r="I173" s="134"/>
      <c r="J173" s="134"/>
      <c r="K173" s="134">
        <f t="shared" si="58"/>
        <v>0</v>
      </c>
      <c r="L173" s="105">
        <f t="shared" si="50"/>
        <v>0</v>
      </c>
      <c r="M173" s="87">
        <f t="shared" si="51"/>
        <v>0</v>
      </c>
      <c r="N173" s="87">
        <f t="shared" si="52"/>
        <v>0</v>
      </c>
      <c r="O173" s="87">
        <f t="shared" si="53"/>
        <v>0</v>
      </c>
      <c r="P173" s="88">
        <f t="shared" si="54"/>
        <v>0</v>
      </c>
    </row>
    <row r="174" spans="1:16" ht="13.2" x14ac:dyDescent="0.2">
      <c r="A174" s="152"/>
      <c r="B174" s="157"/>
      <c r="C174" s="188" t="s">
        <v>271</v>
      </c>
      <c r="D174" s="157"/>
      <c r="E174" s="162"/>
      <c r="F174" s="133"/>
      <c r="G174" s="134"/>
      <c r="H174" s="135"/>
      <c r="I174" s="134"/>
      <c r="J174" s="134"/>
      <c r="K174" s="134"/>
      <c r="L174" s="105"/>
      <c r="M174" s="87"/>
      <c r="N174" s="87"/>
      <c r="O174" s="87"/>
      <c r="P174" s="88"/>
    </row>
    <row r="175" spans="1:16" ht="13.2" x14ac:dyDescent="0.2">
      <c r="A175" s="160">
        <v>1</v>
      </c>
      <c r="B175" s="157" t="s">
        <v>56</v>
      </c>
      <c r="C175" s="163" t="s">
        <v>272</v>
      </c>
      <c r="D175" s="157" t="s">
        <v>70</v>
      </c>
      <c r="E175" s="162">
        <f>30.4</f>
        <v>30.4</v>
      </c>
      <c r="F175" s="133"/>
      <c r="G175" s="134"/>
      <c r="H175" s="135">
        <f t="shared" ref="H175:H178" si="61">ROUND(F175*G175,2)</f>
        <v>0</v>
      </c>
      <c r="I175" s="134"/>
      <c r="J175" s="134"/>
      <c r="K175" s="204">
        <f t="shared" ref="K175" si="62">ROUND(H175+J175+I175,2)</f>
        <v>0</v>
      </c>
      <c r="L175" s="105">
        <f t="shared" si="50"/>
        <v>0</v>
      </c>
      <c r="M175" s="87">
        <f t="shared" si="51"/>
        <v>0</v>
      </c>
      <c r="N175" s="87">
        <f t="shared" si="52"/>
        <v>0</v>
      </c>
      <c r="O175" s="87">
        <f t="shared" si="53"/>
        <v>0</v>
      </c>
      <c r="P175" s="88">
        <f t="shared" si="54"/>
        <v>0</v>
      </c>
    </row>
    <row r="176" spans="1:16" ht="13.2" x14ac:dyDescent="0.2">
      <c r="A176" s="152">
        <v>2</v>
      </c>
      <c r="B176" s="157" t="s">
        <v>56</v>
      </c>
      <c r="C176" s="163" t="s">
        <v>273</v>
      </c>
      <c r="D176" s="157" t="s">
        <v>58</v>
      </c>
      <c r="E176" s="162">
        <v>76</v>
      </c>
      <c r="F176" s="133"/>
      <c r="G176" s="134"/>
      <c r="H176" s="135">
        <f t="shared" si="61"/>
        <v>0</v>
      </c>
      <c r="I176" s="134"/>
      <c r="J176" s="134"/>
      <c r="K176" s="204"/>
      <c r="L176" s="105">
        <f t="shared" si="50"/>
        <v>0</v>
      </c>
      <c r="M176" s="87">
        <f t="shared" si="51"/>
        <v>0</v>
      </c>
      <c r="N176" s="87">
        <f t="shared" si="52"/>
        <v>0</v>
      </c>
      <c r="O176" s="87">
        <f t="shared" si="53"/>
        <v>0</v>
      </c>
      <c r="P176" s="88">
        <f t="shared" si="54"/>
        <v>0</v>
      </c>
    </row>
    <row r="177" spans="1:16" ht="13.2" x14ac:dyDescent="0.2">
      <c r="A177" s="152">
        <v>3</v>
      </c>
      <c r="B177" s="157" t="s">
        <v>56</v>
      </c>
      <c r="C177" s="163" t="s">
        <v>274</v>
      </c>
      <c r="D177" s="157" t="s">
        <v>70</v>
      </c>
      <c r="E177" s="162">
        <f>E175</f>
        <v>30.4</v>
      </c>
      <c r="F177" s="133"/>
      <c r="G177" s="134"/>
      <c r="H177" s="135">
        <f t="shared" si="61"/>
        <v>0</v>
      </c>
      <c r="I177" s="134"/>
      <c r="J177" s="134"/>
      <c r="K177" s="204">
        <f t="shared" ref="K177:K181" si="63">ROUND(H177+J177+I177,2)</f>
        <v>0</v>
      </c>
      <c r="L177" s="105">
        <f t="shared" si="50"/>
        <v>0</v>
      </c>
      <c r="M177" s="87">
        <f t="shared" si="51"/>
        <v>0</v>
      </c>
      <c r="N177" s="87">
        <f t="shared" si="52"/>
        <v>0</v>
      </c>
      <c r="O177" s="87">
        <f t="shared" si="53"/>
        <v>0</v>
      </c>
      <c r="P177" s="88">
        <f t="shared" si="54"/>
        <v>0</v>
      </c>
    </row>
    <row r="178" spans="1:16" ht="13.2" x14ac:dyDescent="0.2">
      <c r="A178" s="160">
        <v>4</v>
      </c>
      <c r="B178" s="157" t="s">
        <v>56</v>
      </c>
      <c r="C178" s="163" t="s">
        <v>275</v>
      </c>
      <c r="D178" s="157" t="s">
        <v>70</v>
      </c>
      <c r="E178" s="162">
        <f>E177</f>
        <v>30.4</v>
      </c>
      <c r="F178" s="133"/>
      <c r="G178" s="134"/>
      <c r="H178" s="135">
        <f t="shared" si="61"/>
        <v>0</v>
      </c>
      <c r="I178" s="134"/>
      <c r="J178" s="134"/>
      <c r="K178" s="204">
        <f t="shared" si="63"/>
        <v>0</v>
      </c>
      <c r="L178" s="105">
        <f t="shared" si="50"/>
        <v>0</v>
      </c>
      <c r="M178" s="87">
        <f t="shared" si="51"/>
        <v>0</v>
      </c>
      <c r="N178" s="87">
        <f t="shared" si="52"/>
        <v>0</v>
      </c>
      <c r="O178" s="87">
        <f t="shared" si="53"/>
        <v>0</v>
      </c>
      <c r="P178" s="88">
        <f t="shared" si="54"/>
        <v>0</v>
      </c>
    </row>
    <row r="179" spans="1:16" ht="13.2" x14ac:dyDescent="0.2">
      <c r="A179" s="152">
        <v>5</v>
      </c>
      <c r="B179" s="157"/>
      <c r="C179" s="164" t="s">
        <v>276</v>
      </c>
      <c r="D179" s="157" t="s">
        <v>157</v>
      </c>
      <c r="E179" s="162">
        <f>E178*0.17</f>
        <v>5.1680000000000001</v>
      </c>
      <c r="F179" s="133"/>
      <c r="G179" s="134"/>
      <c r="H179" s="135"/>
      <c r="I179" s="134"/>
      <c r="J179" s="134"/>
      <c r="K179" s="204">
        <f t="shared" si="63"/>
        <v>0</v>
      </c>
      <c r="L179" s="105">
        <f t="shared" si="50"/>
        <v>0</v>
      </c>
      <c r="M179" s="87">
        <f t="shared" si="51"/>
        <v>0</v>
      </c>
      <c r="N179" s="87">
        <f t="shared" si="52"/>
        <v>0</v>
      </c>
      <c r="O179" s="87">
        <f t="shared" si="53"/>
        <v>0</v>
      </c>
      <c r="P179" s="88">
        <f t="shared" si="54"/>
        <v>0</v>
      </c>
    </row>
    <row r="180" spans="1:16" ht="13.2" x14ac:dyDescent="0.2">
      <c r="A180" s="152">
        <v>6</v>
      </c>
      <c r="B180" s="157"/>
      <c r="C180" s="164" t="s">
        <v>277</v>
      </c>
      <c r="D180" s="157" t="s">
        <v>157</v>
      </c>
      <c r="E180" s="173">
        <f>E178*0.12*2*1.05</f>
        <v>7.6608000000000001</v>
      </c>
      <c r="F180" s="133"/>
      <c r="G180" s="134"/>
      <c r="H180" s="135"/>
      <c r="I180" s="134"/>
      <c r="J180" s="134"/>
      <c r="K180" s="204">
        <f t="shared" si="63"/>
        <v>0</v>
      </c>
      <c r="L180" s="105">
        <f t="shared" si="50"/>
        <v>0</v>
      </c>
      <c r="M180" s="87">
        <f t="shared" si="51"/>
        <v>0</v>
      </c>
      <c r="N180" s="87">
        <f t="shared" si="52"/>
        <v>0</v>
      </c>
      <c r="O180" s="87">
        <f t="shared" si="53"/>
        <v>0</v>
      </c>
      <c r="P180" s="88">
        <f t="shared" si="54"/>
        <v>0</v>
      </c>
    </row>
    <row r="181" spans="1:16" ht="13.2" x14ac:dyDescent="0.2">
      <c r="A181" s="160">
        <v>7</v>
      </c>
      <c r="B181" s="157" t="s">
        <v>56</v>
      </c>
      <c r="C181" s="163" t="s">
        <v>196</v>
      </c>
      <c r="D181" s="157" t="s">
        <v>60</v>
      </c>
      <c r="E181" s="162">
        <v>1</v>
      </c>
      <c r="F181" s="133"/>
      <c r="G181" s="134"/>
      <c r="H181" s="135">
        <f t="shared" ref="H181" si="64">ROUND(F181*G181,2)</f>
        <v>0</v>
      </c>
      <c r="I181" s="134"/>
      <c r="J181" s="134"/>
      <c r="K181" s="134">
        <f t="shared" si="63"/>
        <v>0</v>
      </c>
      <c r="L181" s="105">
        <f t="shared" si="50"/>
        <v>0</v>
      </c>
      <c r="M181" s="87">
        <f t="shared" si="51"/>
        <v>0</v>
      </c>
      <c r="N181" s="87">
        <f t="shared" si="52"/>
        <v>0</v>
      </c>
      <c r="O181" s="87">
        <f t="shared" si="53"/>
        <v>0</v>
      </c>
      <c r="P181" s="88">
        <f t="shared" si="54"/>
        <v>0</v>
      </c>
    </row>
    <row r="182" spans="1:16" ht="26.4" x14ac:dyDescent="0.2">
      <c r="A182" s="160"/>
      <c r="B182" s="157"/>
      <c r="C182" s="139" t="s">
        <v>278</v>
      </c>
      <c r="D182" s="157"/>
      <c r="E182" s="162"/>
      <c r="F182" s="133"/>
      <c r="G182" s="134"/>
      <c r="H182" s="135"/>
      <c r="I182" s="134"/>
      <c r="J182" s="134"/>
      <c r="K182" s="134"/>
      <c r="L182" s="105"/>
      <c r="M182" s="87"/>
      <c r="N182" s="87"/>
      <c r="O182" s="87"/>
      <c r="P182" s="88"/>
    </row>
    <row r="183" spans="1:16" ht="26.4" x14ac:dyDescent="0.2">
      <c r="A183" s="160">
        <v>1</v>
      </c>
      <c r="B183" s="157" t="s">
        <v>56</v>
      </c>
      <c r="C183" s="163" t="s">
        <v>261</v>
      </c>
      <c r="D183" s="157" t="s">
        <v>262</v>
      </c>
      <c r="E183" s="162">
        <v>2</v>
      </c>
      <c r="F183" s="133"/>
      <c r="G183" s="134"/>
      <c r="H183" s="135">
        <f t="shared" ref="H183" si="65">ROUND(F183*G183,2)</f>
        <v>0</v>
      </c>
      <c r="I183" s="134"/>
      <c r="J183" s="134"/>
      <c r="K183" s="134">
        <f t="shared" ref="K183" si="66">ROUND(H183+J183+I183,2)</f>
        <v>0</v>
      </c>
      <c r="L183" s="105">
        <f t="shared" ref="L183" si="67">ROUND(E183*F183,2)</f>
        <v>0</v>
      </c>
      <c r="M183" s="87">
        <f t="shared" ref="M183" si="68">ROUND(E183*H183,2)</f>
        <v>0</v>
      </c>
      <c r="N183" s="87">
        <f t="shared" ref="N183" si="69">ROUND(E183*I183,2)</f>
        <v>0</v>
      </c>
      <c r="O183" s="87">
        <f t="shared" ref="O183" si="70">ROUND(E183*J183,2)</f>
        <v>0</v>
      </c>
      <c r="P183" s="88">
        <f t="shared" ref="P183" si="71">ROUND(O183+N183+M183,2)</f>
        <v>0</v>
      </c>
    </row>
    <row r="184" spans="1:16" ht="13.2" x14ac:dyDescent="0.2">
      <c r="A184" s="160"/>
      <c r="B184" s="157"/>
      <c r="C184" s="188" t="s">
        <v>263</v>
      </c>
      <c r="D184" s="157"/>
      <c r="E184" s="162"/>
      <c r="F184" s="133"/>
      <c r="G184" s="134"/>
      <c r="H184" s="135"/>
      <c r="I184" s="134"/>
      <c r="J184" s="134"/>
      <c r="K184" s="134"/>
      <c r="L184" s="105"/>
      <c r="M184" s="87"/>
      <c r="N184" s="87"/>
      <c r="O184" s="87"/>
      <c r="P184" s="88"/>
    </row>
    <row r="185" spans="1:16" ht="13.2" x14ac:dyDescent="0.2">
      <c r="A185" s="160">
        <v>1</v>
      </c>
      <c r="B185" s="157" t="s">
        <v>56</v>
      </c>
      <c r="C185" s="163" t="s">
        <v>264</v>
      </c>
      <c r="D185" s="157" t="s">
        <v>58</v>
      </c>
      <c r="E185" s="162">
        <v>67</v>
      </c>
      <c r="F185" s="133"/>
      <c r="G185" s="134"/>
      <c r="H185" s="135">
        <f t="shared" ref="H185:H188" si="72">ROUND(F185*G185,2)</f>
        <v>0</v>
      </c>
      <c r="I185" s="134"/>
      <c r="J185" s="134"/>
      <c r="K185" s="134"/>
      <c r="L185" s="105">
        <f t="shared" ref="L185:L199" si="73">ROUND(E185*F185,2)</f>
        <v>0</v>
      </c>
      <c r="M185" s="87">
        <f t="shared" ref="M185:M199" si="74">ROUND(E185*H185,2)</f>
        <v>0</v>
      </c>
      <c r="N185" s="87">
        <f t="shared" ref="N185:N199" si="75">ROUND(E185*I185,2)</f>
        <v>0</v>
      </c>
      <c r="O185" s="87">
        <f t="shared" ref="O185:O199" si="76">ROUND(E185*J185,2)</f>
        <v>0</v>
      </c>
      <c r="P185" s="88">
        <f t="shared" ref="P185:P199" si="77">ROUND(O185+N185+M185,2)</f>
        <v>0</v>
      </c>
    </row>
    <row r="186" spans="1:16" ht="26.4" x14ac:dyDescent="0.2">
      <c r="A186" s="152">
        <v>2</v>
      </c>
      <c r="B186" s="157" t="s">
        <v>56</v>
      </c>
      <c r="C186" s="163" t="s">
        <v>265</v>
      </c>
      <c r="D186" s="157" t="s">
        <v>58</v>
      </c>
      <c r="E186" s="162">
        <v>26</v>
      </c>
      <c r="F186" s="133"/>
      <c r="G186" s="134"/>
      <c r="H186" s="135">
        <f t="shared" si="72"/>
        <v>0</v>
      </c>
      <c r="I186" s="134"/>
      <c r="J186" s="134"/>
      <c r="K186" s="134">
        <f t="shared" ref="K186:K188" si="78">ROUND(H186+J186+I186,2)</f>
        <v>0</v>
      </c>
      <c r="L186" s="105">
        <f t="shared" si="73"/>
        <v>0</v>
      </c>
      <c r="M186" s="87">
        <f t="shared" si="74"/>
        <v>0</v>
      </c>
      <c r="N186" s="87">
        <f t="shared" si="75"/>
        <v>0</v>
      </c>
      <c r="O186" s="87">
        <f t="shared" si="76"/>
        <v>0</v>
      </c>
      <c r="P186" s="88">
        <f t="shared" si="77"/>
        <v>0</v>
      </c>
    </row>
    <row r="187" spans="1:16" ht="13.2" x14ac:dyDescent="0.2">
      <c r="A187" s="152">
        <v>3</v>
      </c>
      <c r="B187" s="157" t="s">
        <v>56</v>
      </c>
      <c r="C187" s="163" t="s">
        <v>266</v>
      </c>
      <c r="D187" s="157" t="s">
        <v>58</v>
      </c>
      <c r="E187" s="162">
        <f>E185</f>
        <v>67</v>
      </c>
      <c r="F187" s="133"/>
      <c r="G187" s="134"/>
      <c r="H187" s="135">
        <f t="shared" si="72"/>
        <v>0</v>
      </c>
      <c r="I187" s="134"/>
      <c r="J187" s="134"/>
      <c r="K187" s="134">
        <f t="shared" si="78"/>
        <v>0</v>
      </c>
      <c r="L187" s="105">
        <f t="shared" si="73"/>
        <v>0</v>
      </c>
      <c r="M187" s="87">
        <f t="shared" si="74"/>
        <v>0</v>
      </c>
      <c r="N187" s="87">
        <f t="shared" si="75"/>
        <v>0</v>
      </c>
      <c r="O187" s="87">
        <f t="shared" si="76"/>
        <v>0</v>
      </c>
      <c r="P187" s="88">
        <f t="shared" si="77"/>
        <v>0</v>
      </c>
    </row>
    <row r="188" spans="1:16" ht="13.2" x14ac:dyDescent="0.2">
      <c r="A188" s="160">
        <v>4</v>
      </c>
      <c r="B188" s="157" t="s">
        <v>56</v>
      </c>
      <c r="C188" s="163" t="s">
        <v>267</v>
      </c>
      <c r="D188" s="157" t="s">
        <v>70</v>
      </c>
      <c r="E188" s="162">
        <v>23.9</v>
      </c>
      <c r="F188" s="133"/>
      <c r="G188" s="134"/>
      <c r="H188" s="135">
        <f t="shared" si="72"/>
        <v>0</v>
      </c>
      <c r="I188" s="134"/>
      <c r="J188" s="134"/>
      <c r="K188" s="134">
        <f t="shared" si="78"/>
        <v>0</v>
      </c>
      <c r="L188" s="105">
        <f t="shared" si="73"/>
        <v>0</v>
      </c>
      <c r="M188" s="87">
        <f t="shared" si="74"/>
        <v>0</v>
      </c>
      <c r="N188" s="87">
        <f t="shared" si="75"/>
        <v>0</v>
      </c>
      <c r="O188" s="87">
        <f t="shared" si="76"/>
        <v>0</v>
      </c>
      <c r="P188" s="88">
        <f t="shared" si="77"/>
        <v>0</v>
      </c>
    </row>
    <row r="189" spans="1:16" ht="13.2" x14ac:dyDescent="0.2">
      <c r="A189" s="152">
        <v>5</v>
      </c>
      <c r="B189" s="157"/>
      <c r="C189" s="164" t="s">
        <v>160</v>
      </c>
      <c r="D189" s="157" t="s">
        <v>157</v>
      </c>
      <c r="E189" s="162">
        <f>E188*0.12</f>
        <v>2.8679999999999999</v>
      </c>
      <c r="F189" s="133"/>
      <c r="G189" s="134"/>
      <c r="H189" s="135"/>
      <c r="I189" s="134"/>
      <c r="J189" s="134"/>
      <c r="K189" s="134">
        <f>ROUND(H189+J189+I189,2)</f>
        <v>0</v>
      </c>
      <c r="L189" s="105">
        <f t="shared" si="73"/>
        <v>0</v>
      </c>
      <c r="M189" s="87">
        <f t="shared" si="74"/>
        <v>0</v>
      </c>
      <c r="N189" s="87">
        <f t="shared" si="75"/>
        <v>0</v>
      </c>
      <c r="O189" s="87">
        <f t="shared" si="76"/>
        <v>0</v>
      </c>
      <c r="P189" s="88">
        <f t="shared" si="77"/>
        <v>0</v>
      </c>
    </row>
    <row r="190" spans="1:16" ht="13.2" x14ac:dyDescent="0.2">
      <c r="A190" s="152">
        <v>6</v>
      </c>
      <c r="B190" s="157"/>
      <c r="C190" s="164" t="s">
        <v>174</v>
      </c>
      <c r="D190" s="157" t="s">
        <v>165</v>
      </c>
      <c r="E190" s="173">
        <f>E188*5</f>
        <v>119.5</v>
      </c>
      <c r="F190" s="133"/>
      <c r="G190" s="134"/>
      <c r="H190" s="135"/>
      <c r="I190" s="134"/>
      <c r="J190" s="134"/>
      <c r="K190" s="134">
        <f>ROUND(H190+J190+I190,2)</f>
        <v>0</v>
      </c>
      <c r="L190" s="105">
        <f t="shared" si="73"/>
        <v>0</v>
      </c>
      <c r="M190" s="87">
        <f t="shared" si="74"/>
        <v>0</v>
      </c>
      <c r="N190" s="87">
        <f t="shared" si="75"/>
        <v>0</v>
      </c>
      <c r="O190" s="87">
        <f t="shared" si="76"/>
        <v>0</v>
      </c>
      <c r="P190" s="88">
        <f t="shared" si="77"/>
        <v>0</v>
      </c>
    </row>
    <row r="191" spans="1:16" ht="26.4" x14ac:dyDescent="0.2">
      <c r="A191" s="160">
        <v>7</v>
      </c>
      <c r="B191" s="157"/>
      <c r="C191" s="164" t="s">
        <v>268</v>
      </c>
      <c r="D191" s="157" t="s">
        <v>70</v>
      </c>
      <c r="E191" s="162">
        <f>E188*1.05</f>
        <v>25.094999999999999</v>
      </c>
      <c r="F191" s="133"/>
      <c r="G191" s="134"/>
      <c r="H191" s="135"/>
      <c r="I191" s="134"/>
      <c r="J191" s="134"/>
      <c r="K191" s="134">
        <f>ROUND(H191+J191+I191,2)</f>
        <v>0</v>
      </c>
      <c r="L191" s="105">
        <f t="shared" si="73"/>
        <v>0</v>
      </c>
      <c r="M191" s="87">
        <f t="shared" si="74"/>
        <v>0</v>
      </c>
      <c r="N191" s="87">
        <f t="shared" si="75"/>
        <v>0</v>
      </c>
      <c r="O191" s="87">
        <f t="shared" si="76"/>
        <v>0</v>
      </c>
      <c r="P191" s="88">
        <f t="shared" si="77"/>
        <v>0</v>
      </c>
    </row>
    <row r="192" spans="1:16" ht="13.2" x14ac:dyDescent="0.2">
      <c r="A192" s="152">
        <v>8</v>
      </c>
      <c r="B192" s="157" t="s">
        <v>56</v>
      </c>
      <c r="C192" s="163" t="s">
        <v>177</v>
      </c>
      <c r="D192" s="157" t="s">
        <v>70</v>
      </c>
      <c r="E192" s="162">
        <v>23</v>
      </c>
      <c r="F192" s="133"/>
      <c r="G192" s="134"/>
      <c r="H192" s="135">
        <f t="shared" ref="H192" si="79">ROUND(F192*G192,2)</f>
        <v>0</v>
      </c>
      <c r="I192" s="134"/>
      <c r="J192" s="134"/>
      <c r="K192" s="134">
        <f t="shared" ref="K192:K199" si="80">ROUND(H192+J192+I192,2)</f>
        <v>0</v>
      </c>
      <c r="L192" s="105">
        <f t="shared" si="73"/>
        <v>0</v>
      </c>
      <c r="M192" s="87">
        <f t="shared" si="74"/>
        <v>0</v>
      </c>
      <c r="N192" s="87">
        <f t="shared" si="75"/>
        <v>0</v>
      </c>
      <c r="O192" s="87">
        <f t="shared" si="76"/>
        <v>0</v>
      </c>
      <c r="P192" s="88">
        <f t="shared" si="77"/>
        <v>0</v>
      </c>
    </row>
    <row r="193" spans="1:16" ht="13.2" x14ac:dyDescent="0.2">
      <c r="A193" s="152">
        <v>9</v>
      </c>
      <c r="B193" s="157"/>
      <c r="C193" s="164" t="s">
        <v>160</v>
      </c>
      <c r="D193" s="157" t="s">
        <v>157</v>
      </c>
      <c r="E193" s="162">
        <f>E192*0.12</f>
        <v>2.76</v>
      </c>
      <c r="F193" s="133"/>
      <c r="G193" s="134"/>
      <c r="H193" s="135"/>
      <c r="I193" s="134"/>
      <c r="J193" s="134"/>
      <c r="K193" s="134">
        <f t="shared" si="80"/>
        <v>0</v>
      </c>
      <c r="L193" s="105">
        <f t="shared" si="73"/>
        <v>0</v>
      </c>
      <c r="M193" s="87">
        <f t="shared" si="74"/>
        <v>0</v>
      </c>
      <c r="N193" s="87">
        <f t="shared" si="75"/>
        <v>0</v>
      </c>
      <c r="O193" s="87">
        <f t="shared" si="76"/>
        <v>0</v>
      </c>
      <c r="P193" s="88">
        <f t="shared" si="77"/>
        <v>0</v>
      </c>
    </row>
    <row r="194" spans="1:16" ht="13.2" x14ac:dyDescent="0.2">
      <c r="A194" s="160">
        <v>10</v>
      </c>
      <c r="B194" s="157"/>
      <c r="C194" s="164" t="s">
        <v>178</v>
      </c>
      <c r="D194" s="157" t="s">
        <v>165</v>
      </c>
      <c r="E194" s="173">
        <f>E192*4.5</f>
        <v>103.5</v>
      </c>
      <c r="F194" s="133"/>
      <c r="G194" s="134"/>
      <c r="H194" s="135"/>
      <c r="I194" s="134"/>
      <c r="J194" s="134"/>
      <c r="K194" s="134">
        <f t="shared" si="80"/>
        <v>0</v>
      </c>
      <c r="L194" s="105">
        <f t="shared" si="73"/>
        <v>0</v>
      </c>
      <c r="M194" s="87">
        <f t="shared" si="74"/>
        <v>0</v>
      </c>
      <c r="N194" s="87">
        <f t="shared" si="75"/>
        <v>0</v>
      </c>
      <c r="O194" s="87">
        <f t="shared" si="76"/>
        <v>0</v>
      </c>
      <c r="P194" s="88">
        <f t="shared" si="77"/>
        <v>0</v>
      </c>
    </row>
    <row r="195" spans="1:16" ht="13.2" x14ac:dyDescent="0.2">
      <c r="A195" s="152">
        <v>11</v>
      </c>
      <c r="B195" s="157"/>
      <c r="C195" s="164" t="s">
        <v>170</v>
      </c>
      <c r="D195" s="157" t="s">
        <v>70</v>
      </c>
      <c r="E195" s="162">
        <f>E192*1.2</f>
        <v>27.599999999999998</v>
      </c>
      <c r="F195" s="133"/>
      <c r="G195" s="134"/>
      <c r="H195" s="135"/>
      <c r="I195" s="134"/>
      <c r="J195" s="134"/>
      <c r="K195" s="134">
        <f t="shared" si="80"/>
        <v>0</v>
      </c>
      <c r="L195" s="105">
        <f t="shared" si="73"/>
        <v>0</v>
      </c>
      <c r="M195" s="87">
        <f t="shared" si="74"/>
        <v>0</v>
      </c>
      <c r="N195" s="87">
        <f t="shared" si="75"/>
        <v>0</v>
      </c>
      <c r="O195" s="87">
        <f t="shared" si="76"/>
        <v>0</v>
      </c>
      <c r="P195" s="88">
        <f t="shared" si="77"/>
        <v>0</v>
      </c>
    </row>
    <row r="196" spans="1:16" ht="13.2" x14ac:dyDescent="0.2">
      <c r="A196" s="152">
        <v>12</v>
      </c>
      <c r="B196" s="157" t="s">
        <v>56</v>
      </c>
      <c r="C196" s="163" t="s">
        <v>248</v>
      </c>
      <c r="D196" s="157" t="s">
        <v>70</v>
      </c>
      <c r="E196" s="162">
        <v>16.8</v>
      </c>
      <c r="F196" s="133"/>
      <c r="G196" s="134"/>
      <c r="H196" s="135">
        <f t="shared" ref="H196" si="81">ROUND(F196*G196,2)</f>
        <v>0</v>
      </c>
      <c r="I196" s="134"/>
      <c r="J196" s="134"/>
      <c r="K196" s="134">
        <f t="shared" si="80"/>
        <v>0</v>
      </c>
      <c r="L196" s="105">
        <f t="shared" si="73"/>
        <v>0</v>
      </c>
      <c r="M196" s="87">
        <f t="shared" si="74"/>
        <v>0</v>
      </c>
      <c r="N196" s="87">
        <f t="shared" si="75"/>
        <v>0</v>
      </c>
      <c r="O196" s="87">
        <f t="shared" si="76"/>
        <v>0</v>
      </c>
      <c r="P196" s="88">
        <f t="shared" si="77"/>
        <v>0</v>
      </c>
    </row>
    <row r="197" spans="1:16" ht="13.2" x14ac:dyDescent="0.2">
      <c r="A197" s="160">
        <v>13</v>
      </c>
      <c r="B197" s="157"/>
      <c r="C197" s="164" t="s">
        <v>269</v>
      </c>
      <c r="D197" s="157" t="s">
        <v>157</v>
      </c>
      <c r="E197" s="162">
        <f>E196*0.15</f>
        <v>2.52</v>
      </c>
      <c r="F197" s="133"/>
      <c r="G197" s="134"/>
      <c r="H197" s="135"/>
      <c r="I197" s="134"/>
      <c r="J197" s="134"/>
      <c r="K197" s="134">
        <f t="shared" si="80"/>
        <v>0</v>
      </c>
      <c r="L197" s="105">
        <f t="shared" si="73"/>
        <v>0</v>
      </c>
      <c r="M197" s="87">
        <f t="shared" si="74"/>
        <v>0</v>
      </c>
      <c r="N197" s="87">
        <f t="shared" si="75"/>
        <v>0</v>
      </c>
      <c r="O197" s="87">
        <f t="shared" si="76"/>
        <v>0</v>
      </c>
      <c r="P197" s="88">
        <f t="shared" si="77"/>
        <v>0</v>
      </c>
    </row>
    <row r="198" spans="1:16" ht="26.4" x14ac:dyDescent="0.2">
      <c r="A198" s="152">
        <v>14</v>
      </c>
      <c r="B198" s="157"/>
      <c r="C198" s="164" t="s">
        <v>270</v>
      </c>
      <c r="D198" s="157" t="s">
        <v>165</v>
      </c>
      <c r="E198" s="162">
        <f>E196*3.5</f>
        <v>58.800000000000004</v>
      </c>
      <c r="F198" s="133"/>
      <c r="G198" s="134"/>
      <c r="H198" s="135"/>
      <c r="I198" s="134"/>
      <c r="J198" s="134"/>
      <c r="K198" s="134">
        <f t="shared" si="80"/>
        <v>0</v>
      </c>
      <c r="L198" s="105">
        <f t="shared" si="73"/>
        <v>0</v>
      </c>
      <c r="M198" s="87">
        <f t="shared" si="74"/>
        <v>0</v>
      </c>
      <c r="N198" s="87">
        <f t="shared" si="75"/>
        <v>0</v>
      </c>
      <c r="O198" s="87">
        <f t="shared" si="76"/>
        <v>0</v>
      </c>
      <c r="P198" s="88">
        <f t="shared" si="77"/>
        <v>0</v>
      </c>
    </row>
    <row r="199" spans="1:16" ht="13.2" x14ac:dyDescent="0.2">
      <c r="A199" s="152">
        <v>15</v>
      </c>
      <c r="B199" s="157" t="s">
        <v>56</v>
      </c>
      <c r="C199" s="163" t="s">
        <v>196</v>
      </c>
      <c r="D199" s="157" t="s">
        <v>60</v>
      </c>
      <c r="E199" s="162">
        <v>1</v>
      </c>
      <c r="F199" s="133"/>
      <c r="G199" s="134"/>
      <c r="H199" s="135">
        <f t="shared" ref="H199" si="82">ROUND(F199*G199,2)</f>
        <v>0</v>
      </c>
      <c r="I199" s="134"/>
      <c r="J199" s="134"/>
      <c r="K199" s="134">
        <f t="shared" si="80"/>
        <v>0</v>
      </c>
      <c r="L199" s="105">
        <f t="shared" si="73"/>
        <v>0</v>
      </c>
      <c r="M199" s="87">
        <f t="shared" si="74"/>
        <v>0</v>
      </c>
      <c r="N199" s="87">
        <f t="shared" si="75"/>
        <v>0</v>
      </c>
      <c r="O199" s="87">
        <f t="shared" si="76"/>
        <v>0</v>
      </c>
      <c r="P199" s="88">
        <f t="shared" si="77"/>
        <v>0</v>
      </c>
    </row>
    <row r="200" spans="1:16" ht="13.2" x14ac:dyDescent="0.2">
      <c r="A200" s="152"/>
      <c r="B200" s="157"/>
      <c r="C200" s="188" t="s">
        <v>271</v>
      </c>
      <c r="D200" s="157"/>
      <c r="E200" s="162"/>
      <c r="F200" s="133"/>
      <c r="G200" s="134"/>
      <c r="H200" s="135"/>
      <c r="I200" s="134"/>
      <c r="J200" s="134"/>
      <c r="K200" s="134"/>
      <c r="L200" s="105"/>
      <c r="M200" s="87"/>
      <c r="N200" s="87"/>
      <c r="O200" s="87"/>
      <c r="P200" s="88"/>
    </row>
    <row r="201" spans="1:16" ht="13.2" x14ac:dyDescent="0.2">
      <c r="A201" s="160">
        <v>1</v>
      </c>
      <c r="B201" s="157" t="s">
        <v>56</v>
      </c>
      <c r="C201" s="163" t="s">
        <v>272</v>
      </c>
      <c r="D201" s="157" t="s">
        <v>70</v>
      </c>
      <c r="E201" s="162">
        <v>4.4000000000000004</v>
      </c>
      <c r="F201" s="133"/>
      <c r="G201" s="134"/>
      <c r="H201" s="135">
        <f t="shared" ref="H201:H204" si="83">ROUND(F201*G201,2)</f>
        <v>0</v>
      </c>
      <c r="I201" s="134"/>
      <c r="J201" s="134"/>
      <c r="K201" s="204">
        <f t="shared" ref="K201" si="84">ROUND(H201+J201+I201,2)</f>
        <v>0</v>
      </c>
      <c r="L201" s="105">
        <f t="shared" ref="L201:L207" si="85">ROUND(E201*F201,2)</f>
        <v>0</v>
      </c>
      <c r="M201" s="87">
        <f t="shared" ref="M201:M207" si="86">ROUND(E201*H201,2)</f>
        <v>0</v>
      </c>
      <c r="N201" s="87">
        <f t="shared" ref="N201:N207" si="87">ROUND(E201*I201,2)</f>
        <v>0</v>
      </c>
      <c r="O201" s="87">
        <f t="shared" ref="O201:O207" si="88">ROUND(E201*J201,2)</f>
        <v>0</v>
      </c>
      <c r="P201" s="88">
        <f t="shared" ref="P201:P207" si="89">ROUND(O201+N201+M201,2)</f>
        <v>0</v>
      </c>
    </row>
    <row r="202" spans="1:16" ht="13.2" x14ac:dyDescent="0.2">
      <c r="A202" s="152">
        <v>2</v>
      </c>
      <c r="B202" s="157" t="s">
        <v>56</v>
      </c>
      <c r="C202" s="163" t="s">
        <v>273</v>
      </c>
      <c r="D202" s="157" t="s">
        <v>58</v>
      </c>
      <c r="E202" s="162">
        <v>11</v>
      </c>
      <c r="F202" s="133"/>
      <c r="G202" s="134"/>
      <c r="H202" s="135">
        <f t="shared" si="83"/>
        <v>0</v>
      </c>
      <c r="I202" s="134"/>
      <c r="J202" s="134"/>
      <c r="K202" s="204"/>
      <c r="L202" s="105">
        <f t="shared" si="85"/>
        <v>0</v>
      </c>
      <c r="M202" s="87">
        <f t="shared" si="86"/>
        <v>0</v>
      </c>
      <c r="N202" s="87">
        <f t="shared" si="87"/>
        <v>0</v>
      </c>
      <c r="O202" s="87">
        <f t="shared" si="88"/>
        <v>0</v>
      </c>
      <c r="P202" s="88">
        <f t="shared" si="89"/>
        <v>0</v>
      </c>
    </row>
    <row r="203" spans="1:16" ht="13.2" x14ac:dyDescent="0.2">
      <c r="A203" s="152">
        <v>3</v>
      </c>
      <c r="B203" s="157" t="s">
        <v>56</v>
      </c>
      <c r="C203" s="163" t="s">
        <v>274</v>
      </c>
      <c r="D203" s="157" t="s">
        <v>70</v>
      </c>
      <c r="E203" s="162">
        <f>E201</f>
        <v>4.4000000000000004</v>
      </c>
      <c r="F203" s="133"/>
      <c r="G203" s="134"/>
      <c r="H203" s="135">
        <f t="shared" si="83"/>
        <v>0</v>
      </c>
      <c r="I203" s="134"/>
      <c r="J203" s="134"/>
      <c r="K203" s="204">
        <f t="shared" ref="K203:K207" si="90">ROUND(H203+J203+I203,2)</f>
        <v>0</v>
      </c>
      <c r="L203" s="105">
        <f t="shared" si="85"/>
        <v>0</v>
      </c>
      <c r="M203" s="87">
        <f t="shared" si="86"/>
        <v>0</v>
      </c>
      <c r="N203" s="87">
        <f t="shared" si="87"/>
        <v>0</v>
      </c>
      <c r="O203" s="87">
        <f t="shared" si="88"/>
        <v>0</v>
      </c>
      <c r="P203" s="88">
        <f t="shared" si="89"/>
        <v>0</v>
      </c>
    </row>
    <row r="204" spans="1:16" ht="13.2" x14ac:dyDescent="0.2">
      <c r="A204" s="160">
        <v>4</v>
      </c>
      <c r="B204" s="157" t="s">
        <v>56</v>
      </c>
      <c r="C204" s="163" t="s">
        <v>275</v>
      </c>
      <c r="D204" s="157" t="s">
        <v>70</v>
      </c>
      <c r="E204" s="162">
        <f>E203</f>
        <v>4.4000000000000004</v>
      </c>
      <c r="F204" s="133"/>
      <c r="G204" s="134"/>
      <c r="H204" s="135">
        <f t="shared" si="83"/>
        <v>0</v>
      </c>
      <c r="I204" s="134"/>
      <c r="J204" s="134"/>
      <c r="K204" s="204">
        <f t="shared" si="90"/>
        <v>0</v>
      </c>
      <c r="L204" s="105">
        <f t="shared" si="85"/>
        <v>0</v>
      </c>
      <c r="M204" s="87">
        <f t="shared" si="86"/>
        <v>0</v>
      </c>
      <c r="N204" s="87">
        <f t="shared" si="87"/>
        <v>0</v>
      </c>
      <c r="O204" s="87">
        <f t="shared" si="88"/>
        <v>0</v>
      </c>
      <c r="P204" s="88">
        <f t="shared" si="89"/>
        <v>0</v>
      </c>
    </row>
    <row r="205" spans="1:16" ht="13.2" x14ac:dyDescent="0.2">
      <c r="A205" s="160">
        <v>5</v>
      </c>
      <c r="B205" s="157"/>
      <c r="C205" s="164" t="s">
        <v>276</v>
      </c>
      <c r="D205" s="157" t="s">
        <v>157</v>
      </c>
      <c r="E205" s="162">
        <f>E204*0.17</f>
        <v>0.74800000000000011</v>
      </c>
      <c r="F205" s="133"/>
      <c r="G205" s="134"/>
      <c r="H205" s="135"/>
      <c r="I205" s="134"/>
      <c r="J205" s="134"/>
      <c r="K205" s="204">
        <f t="shared" si="90"/>
        <v>0</v>
      </c>
      <c r="L205" s="105">
        <f t="shared" si="85"/>
        <v>0</v>
      </c>
      <c r="M205" s="87">
        <f t="shared" si="86"/>
        <v>0</v>
      </c>
      <c r="N205" s="87">
        <f t="shared" si="87"/>
        <v>0</v>
      </c>
      <c r="O205" s="87">
        <f t="shared" si="88"/>
        <v>0</v>
      </c>
      <c r="P205" s="88">
        <f t="shared" si="89"/>
        <v>0</v>
      </c>
    </row>
    <row r="206" spans="1:16" ht="13.2" x14ac:dyDescent="0.2">
      <c r="A206" s="152">
        <v>6</v>
      </c>
      <c r="B206" s="157"/>
      <c r="C206" s="164" t="s">
        <v>277</v>
      </c>
      <c r="D206" s="157" t="s">
        <v>157</v>
      </c>
      <c r="E206" s="173">
        <f>E204*0.12*2*1.05</f>
        <v>1.1088</v>
      </c>
      <c r="F206" s="133"/>
      <c r="G206" s="134"/>
      <c r="H206" s="135"/>
      <c r="I206" s="134"/>
      <c r="J206" s="134"/>
      <c r="K206" s="204">
        <f t="shared" si="90"/>
        <v>0</v>
      </c>
      <c r="L206" s="105">
        <f t="shared" si="85"/>
        <v>0</v>
      </c>
      <c r="M206" s="87">
        <f t="shared" si="86"/>
        <v>0</v>
      </c>
      <c r="N206" s="87">
        <f t="shared" si="87"/>
        <v>0</v>
      </c>
      <c r="O206" s="87">
        <f t="shared" si="88"/>
        <v>0</v>
      </c>
      <c r="P206" s="88">
        <f t="shared" si="89"/>
        <v>0</v>
      </c>
    </row>
    <row r="207" spans="1:16" ht="13.2" x14ac:dyDescent="0.2">
      <c r="A207" s="152">
        <v>7</v>
      </c>
      <c r="B207" s="157" t="s">
        <v>56</v>
      </c>
      <c r="C207" s="163" t="s">
        <v>196</v>
      </c>
      <c r="D207" s="157" t="s">
        <v>60</v>
      </c>
      <c r="E207" s="162">
        <v>1</v>
      </c>
      <c r="F207" s="133"/>
      <c r="G207" s="134"/>
      <c r="H207" s="135">
        <f t="shared" ref="H207" si="91">ROUND(F207*G207,2)</f>
        <v>0</v>
      </c>
      <c r="I207" s="134"/>
      <c r="J207" s="134"/>
      <c r="K207" s="134">
        <f t="shared" si="90"/>
        <v>0</v>
      </c>
      <c r="L207" s="105">
        <f t="shared" si="85"/>
        <v>0</v>
      </c>
      <c r="M207" s="87">
        <f t="shared" si="86"/>
        <v>0</v>
      </c>
      <c r="N207" s="87">
        <f t="shared" si="87"/>
        <v>0</v>
      </c>
      <c r="O207" s="87">
        <f t="shared" si="88"/>
        <v>0</v>
      </c>
      <c r="P207" s="88">
        <f t="shared" si="89"/>
        <v>0</v>
      </c>
    </row>
    <row r="208" spans="1:16" ht="26.4" x14ac:dyDescent="0.2">
      <c r="A208" s="160"/>
      <c r="B208" s="157"/>
      <c r="C208" s="139" t="s">
        <v>279</v>
      </c>
      <c r="D208" s="157"/>
      <c r="E208" s="162"/>
      <c r="F208" s="133"/>
      <c r="G208" s="134"/>
      <c r="H208" s="135"/>
      <c r="I208" s="134"/>
      <c r="J208" s="134"/>
      <c r="K208" s="134"/>
      <c r="L208" s="105"/>
      <c r="M208" s="87"/>
      <c r="N208" s="87"/>
      <c r="O208" s="87"/>
      <c r="P208" s="88"/>
    </row>
    <row r="209" spans="1:16" ht="26.4" x14ac:dyDescent="0.2">
      <c r="A209" s="160">
        <v>1</v>
      </c>
      <c r="B209" s="157" t="s">
        <v>56</v>
      </c>
      <c r="C209" s="163" t="s">
        <v>261</v>
      </c>
      <c r="D209" s="157" t="s">
        <v>262</v>
      </c>
      <c r="E209" s="162">
        <v>11</v>
      </c>
      <c r="F209" s="133"/>
      <c r="G209" s="134"/>
      <c r="H209" s="135">
        <f t="shared" ref="H209" si="92">ROUND(F209*G209,2)</f>
        <v>0</v>
      </c>
      <c r="I209" s="134"/>
      <c r="J209" s="134"/>
      <c r="K209" s="134">
        <f t="shared" ref="K209" si="93">ROUND(H209+J209+I209,2)</f>
        <v>0</v>
      </c>
      <c r="L209" s="105">
        <f t="shared" ref="L209" si="94">ROUND(E209*F209,2)</f>
        <v>0</v>
      </c>
      <c r="M209" s="87">
        <f t="shared" ref="M209" si="95">ROUND(E209*H209,2)</f>
        <v>0</v>
      </c>
      <c r="N209" s="87">
        <f t="shared" ref="N209" si="96">ROUND(E209*I209,2)</f>
        <v>0</v>
      </c>
      <c r="O209" s="87">
        <f t="shared" ref="O209" si="97">ROUND(E209*J209,2)</f>
        <v>0</v>
      </c>
      <c r="P209" s="88">
        <f t="shared" ref="P209" si="98">ROUND(O209+N209+M209,2)</f>
        <v>0</v>
      </c>
    </row>
    <row r="210" spans="1:16" ht="13.2" x14ac:dyDescent="0.2">
      <c r="A210" s="160"/>
      <c r="B210" s="157"/>
      <c r="C210" s="188" t="s">
        <v>263</v>
      </c>
      <c r="D210" s="157"/>
      <c r="E210" s="162"/>
      <c r="F210" s="133"/>
      <c r="G210" s="134"/>
      <c r="H210" s="135"/>
      <c r="I210" s="134"/>
      <c r="J210" s="134"/>
      <c r="K210" s="134"/>
      <c r="L210" s="105"/>
      <c r="M210" s="87"/>
      <c r="N210" s="87"/>
      <c r="O210" s="87"/>
      <c r="P210" s="88"/>
    </row>
    <row r="211" spans="1:16" ht="13.2" x14ac:dyDescent="0.2">
      <c r="A211" s="160">
        <v>1</v>
      </c>
      <c r="B211" s="157" t="s">
        <v>56</v>
      </c>
      <c r="C211" s="163" t="s">
        <v>264</v>
      </c>
      <c r="D211" s="157" t="s">
        <v>58</v>
      </c>
      <c r="E211" s="162">
        <v>547</v>
      </c>
      <c r="F211" s="133"/>
      <c r="G211" s="134"/>
      <c r="H211" s="135">
        <f t="shared" ref="H211:H214" si="99">ROUND(F211*G211,2)</f>
        <v>0</v>
      </c>
      <c r="I211" s="134"/>
      <c r="J211" s="134"/>
      <c r="K211" s="134"/>
      <c r="L211" s="105">
        <f t="shared" ref="L211:L225" si="100">ROUND(E211*F211,2)</f>
        <v>0</v>
      </c>
      <c r="M211" s="87">
        <f t="shared" ref="M211:M225" si="101">ROUND(E211*H211,2)</f>
        <v>0</v>
      </c>
      <c r="N211" s="87">
        <f t="shared" ref="N211:N225" si="102">ROUND(E211*I211,2)</f>
        <v>0</v>
      </c>
      <c r="O211" s="87">
        <f t="shared" ref="O211:O225" si="103">ROUND(E211*J211,2)</f>
        <v>0</v>
      </c>
      <c r="P211" s="88">
        <f t="shared" ref="P211:P225" si="104">ROUND(O211+N211+M211,2)</f>
        <v>0</v>
      </c>
    </row>
    <row r="212" spans="1:16" ht="26.4" x14ac:dyDescent="0.2">
      <c r="A212" s="152">
        <v>2</v>
      </c>
      <c r="B212" s="157" t="s">
        <v>56</v>
      </c>
      <c r="C212" s="163" t="s">
        <v>265</v>
      </c>
      <c r="D212" s="157" t="s">
        <v>58</v>
      </c>
      <c r="E212" s="162">
        <v>204</v>
      </c>
      <c r="F212" s="133"/>
      <c r="G212" s="134"/>
      <c r="H212" s="135">
        <f t="shared" si="99"/>
        <v>0</v>
      </c>
      <c r="I212" s="134"/>
      <c r="J212" s="134"/>
      <c r="K212" s="134">
        <f t="shared" ref="K212:K214" si="105">ROUND(H212+J212+I212,2)</f>
        <v>0</v>
      </c>
      <c r="L212" s="105">
        <f t="shared" si="100"/>
        <v>0</v>
      </c>
      <c r="M212" s="87">
        <f t="shared" si="101"/>
        <v>0</v>
      </c>
      <c r="N212" s="87">
        <f t="shared" si="102"/>
        <v>0</v>
      </c>
      <c r="O212" s="87">
        <f t="shared" si="103"/>
        <v>0</v>
      </c>
      <c r="P212" s="88">
        <f t="shared" si="104"/>
        <v>0</v>
      </c>
    </row>
    <row r="213" spans="1:16" ht="13.2" x14ac:dyDescent="0.2">
      <c r="A213" s="152">
        <v>3</v>
      </c>
      <c r="B213" s="157" t="s">
        <v>56</v>
      </c>
      <c r="C213" s="163" t="s">
        <v>266</v>
      </c>
      <c r="D213" s="157" t="s">
        <v>58</v>
      </c>
      <c r="E213" s="162">
        <f>E211</f>
        <v>547</v>
      </c>
      <c r="F213" s="133"/>
      <c r="G213" s="134"/>
      <c r="H213" s="135">
        <f t="shared" si="99"/>
        <v>0</v>
      </c>
      <c r="I213" s="134"/>
      <c r="J213" s="134"/>
      <c r="K213" s="134">
        <f t="shared" si="105"/>
        <v>0</v>
      </c>
      <c r="L213" s="105">
        <f t="shared" si="100"/>
        <v>0</v>
      </c>
      <c r="M213" s="87">
        <f t="shared" si="101"/>
        <v>0</v>
      </c>
      <c r="N213" s="87">
        <f t="shared" si="102"/>
        <v>0</v>
      </c>
      <c r="O213" s="87">
        <f t="shared" si="103"/>
        <v>0</v>
      </c>
      <c r="P213" s="88">
        <f t="shared" si="104"/>
        <v>0</v>
      </c>
    </row>
    <row r="214" spans="1:16" ht="13.2" x14ac:dyDescent="0.2">
      <c r="A214" s="160">
        <v>4</v>
      </c>
      <c r="B214" s="157" t="s">
        <v>56</v>
      </c>
      <c r="C214" s="163" t="s">
        <v>267</v>
      </c>
      <c r="D214" s="157" t="s">
        <v>70</v>
      </c>
      <c r="E214" s="162">
        <v>195.3</v>
      </c>
      <c r="F214" s="133"/>
      <c r="G214" s="134"/>
      <c r="H214" s="135">
        <f t="shared" si="99"/>
        <v>0</v>
      </c>
      <c r="I214" s="134"/>
      <c r="J214" s="134"/>
      <c r="K214" s="134">
        <f t="shared" si="105"/>
        <v>0</v>
      </c>
      <c r="L214" s="105">
        <f t="shared" si="100"/>
        <v>0</v>
      </c>
      <c r="M214" s="87">
        <f t="shared" si="101"/>
        <v>0</v>
      </c>
      <c r="N214" s="87">
        <f t="shared" si="102"/>
        <v>0</v>
      </c>
      <c r="O214" s="87">
        <f t="shared" si="103"/>
        <v>0</v>
      </c>
      <c r="P214" s="88">
        <f t="shared" si="104"/>
        <v>0</v>
      </c>
    </row>
    <row r="215" spans="1:16" ht="13.2" x14ac:dyDescent="0.2">
      <c r="A215" s="152">
        <v>5</v>
      </c>
      <c r="B215" s="157"/>
      <c r="C215" s="164" t="s">
        <v>160</v>
      </c>
      <c r="D215" s="157" t="s">
        <v>157</v>
      </c>
      <c r="E215" s="162">
        <f>E214*0.12</f>
        <v>23.436</v>
      </c>
      <c r="F215" s="133"/>
      <c r="G215" s="134"/>
      <c r="H215" s="135"/>
      <c r="I215" s="134"/>
      <c r="J215" s="134"/>
      <c r="K215" s="134">
        <f>ROUND(H215+J215+I215,2)</f>
        <v>0</v>
      </c>
      <c r="L215" s="105">
        <f t="shared" si="100"/>
        <v>0</v>
      </c>
      <c r="M215" s="87">
        <f t="shared" si="101"/>
        <v>0</v>
      </c>
      <c r="N215" s="87">
        <f t="shared" si="102"/>
        <v>0</v>
      </c>
      <c r="O215" s="87">
        <f t="shared" si="103"/>
        <v>0</v>
      </c>
      <c r="P215" s="88">
        <f t="shared" si="104"/>
        <v>0</v>
      </c>
    </row>
    <row r="216" spans="1:16" ht="13.2" x14ac:dyDescent="0.2">
      <c r="A216" s="152">
        <v>6</v>
      </c>
      <c r="B216" s="157"/>
      <c r="C216" s="164" t="s">
        <v>174</v>
      </c>
      <c r="D216" s="157" t="s">
        <v>165</v>
      </c>
      <c r="E216" s="173">
        <f>E214*5</f>
        <v>976.5</v>
      </c>
      <c r="F216" s="133"/>
      <c r="G216" s="134"/>
      <c r="H216" s="135"/>
      <c r="I216" s="134"/>
      <c r="J216" s="134"/>
      <c r="K216" s="134">
        <f>ROUND(H216+J216+I216,2)</f>
        <v>0</v>
      </c>
      <c r="L216" s="105">
        <f t="shared" si="100"/>
        <v>0</v>
      </c>
      <c r="M216" s="87">
        <f t="shared" si="101"/>
        <v>0</v>
      </c>
      <c r="N216" s="87">
        <f t="shared" si="102"/>
        <v>0</v>
      </c>
      <c r="O216" s="87">
        <f t="shared" si="103"/>
        <v>0</v>
      </c>
      <c r="P216" s="88">
        <f t="shared" si="104"/>
        <v>0</v>
      </c>
    </row>
    <row r="217" spans="1:16" ht="26.4" x14ac:dyDescent="0.2">
      <c r="A217" s="160">
        <v>7</v>
      </c>
      <c r="B217" s="157"/>
      <c r="C217" s="164" t="s">
        <v>268</v>
      </c>
      <c r="D217" s="157" t="s">
        <v>70</v>
      </c>
      <c r="E217" s="162">
        <f>E214*1.05</f>
        <v>205.06500000000003</v>
      </c>
      <c r="F217" s="133"/>
      <c r="G217" s="134"/>
      <c r="H217" s="135"/>
      <c r="I217" s="134"/>
      <c r="J217" s="134"/>
      <c r="K217" s="134">
        <f>ROUND(H217+J217+I217,2)</f>
        <v>0</v>
      </c>
      <c r="L217" s="105">
        <f t="shared" si="100"/>
        <v>0</v>
      </c>
      <c r="M217" s="87">
        <f t="shared" si="101"/>
        <v>0</v>
      </c>
      <c r="N217" s="87">
        <f t="shared" si="102"/>
        <v>0</v>
      </c>
      <c r="O217" s="87">
        <f t="shared" si="103"/>
        <v>0</v>
      </c>
      <c r="P217" s="88">
        <f t="shared" si="104"/>
        <v>0</v>
      </c>
    </row>
    <row r="218" spans="1:16" ht="13.2" x14ac:dyDescent="0.2">
      <c r="A218" s="152">
        <v>8</v>
      </c>
      <c r="B218" s="157" t="s">
        <v>56</v>
      </c>
      <c r="C218" s="163" t="s">
        <v>177</v>
      </c>
      <c r="D218" s="157" t="s">
        <v>70</v>
      </c>
      <c r="E218" s="162">
        <v>187.8</v>
      </c>
      <c r="F218" s="133"/>
      <c r="G218" s="134"/>
      <c r="H218" s="135">
        <f t="shared" ref="H218" si="106">ROUND(F218*G218,2)</f>
        <v>0</v>
      </c>
      <c r="I218" s="134"/>
      <c r="J218" s="134"/>
      <c r="K218" s="134">
        <f t="shared" ref="K218:K225" si="107">ROUND(H218+J218+I218,2)</f>
        <v>0</v>
      </c>
      <c r="L218" s="105">
        <f t="shared" si="100"/>
        <v>0</v>
      </c>
      <c r="M218" s="87">
        <f t="shared" si="101"/>
        <v>0</v>
      </c>
      <c r="N218" s="87">
        <f t="shared" si="102"/>
        <v>0</v>
      </c>
      <c r="O218" s="87">
        <f t="shared" si="103"/>
        <v>0</v>
      </c>
      <c r="P218" s="88">
        <f t="shared" si="104"/>
        <v>0</v>
      </c>
    </row>
    <row r="219" spans="1:16" ht="13.2" x14ac:dyDescent="0.2">
      <c r="A219" s="152">
        <v>9</v>
      </c>
      <c r="B219" s="157"/>
      <c r="C219" s="164" t="s">
        <v>160</v>
      </c>
      <c r="D219" s="157" t="s">
        <v>157</v>
      </c>
      <c r="E219" s="162">
        <f>E218*0.12</f>
        <v>22.536000000000001</v>
      </c>
      <c r="F219" s="133"/>
      <c r="G219" s="134"/>
      <c r="H219" s="135"/>
      <c r="I219" s="134"/>
      <c r="J219" s="134"/>
      <c r="K219" s="134">
        <f t="shared" si="107"/>
        <v>0</v>
      </c>
      <c r="L219" s="105">
        <f t="shared" si="100"/>
        <v>0</v>
      </c>
      <c r="M219" s="87">
        <f t="shared" si="101"/>
        <v>0</v>
      </c>
      <c r="N219" s="87">
        <f t="shared" si="102"/>
        <v>0</v>
      </c>
      <c r="O219" s="87">
        <f t="shared" si="103"/>
        <v>0</v>
      </c>
      <c r="P219" s="88">
        <f t="shared" si="104"/>
        <v>0</v>
      </c>
    </row>
    <row r="220" spans="1:16" ht="13.2" x14ac:dyDescent="0.2">
      <c r="A220" s="160">
        <v>10</v>
      </c>
      <c r="B220" s="157"/>
      <c r="C220" s="164" t="s">
        <v>178</v>
      </c>
      <c r="D220" s="157" t="s">
        <v>165</v>
      </c>
      <c r="E220" s="173">
        <f>E218*4.5</f>
        <v>845.1</v>
      </c>
      <c r="F220" s="133"/>
      <c r="G220" s="134"/>
      <c r="H220" s="135"/>
      <c r="I220" s="134"/>
      <c r="J220" s="134"/>
      <c r="K220" s="134">
        <f t="shared" si="107"/>
        <v>0</v>
      </c>
      <c r="L220" s="105">
        <f t="shared" si="100"/>
        <v>0</v>
      </c>
      <c r="M220" s="87">
        <f t="shared" si="101"/>
        <v>0</v>
      </c>
      <c r="N220" s="87">
        <f t="shared" si="102"/>
        <v>0</v>
      </c>
      <c r="O220" s="87">
        <f t="shared" si="103"/>
        <v>0</v>
      </c>
      <c r="P220" s="88">
        <f t="shared" si="104"/>
        <v>0</v>
      </c>
    </row>
    <row r="221" spans="1:16" ht="13.2" x14ac:dyDescent="0.2">
      <c r="A221" s="152">
        <v>11</v>
      </c>
      <c r="B221" s="157"/>
      <c r="C221" s="164" t="s">
        <v>170</v>
      </c>
      <c r="D221" s="157" t="s">
        <v>70</v>
      </c>
      <c r="E221" s="162">
        <f>E218*1.2</f>
        <v>225.36</v>
      </c>
      <c r="F221" s="133"/>
      <c r="G221" s="134"/>
      <c r="H221" s="135"/>
      <c r="I221" s="134"/>
      <c r="J221" s="134"/>
      <c r="K221" s="134">
        <f t="shared" si="107"/>
        <v>0</v>
      </c>
      <c r="L221" s="105">
        <f t="shared" si="100"/>
        <v>0</v>
      </c>
      <c r="M221" s="87">
        <f t="shared" si="101"/>
        <v>0</v>
      </c>
      <c r="N221" s="87">
        <f t="shared" si="102"/>
        <v>0</v>
      </c>
      <c r="O221" s="87">
        <f t="shared" si="103"/>
        <v>0</v>
      </c>
      <c r="P221" s="88">
        <f t="shared" si="104"/>
        <v>0</v>
      </c>
    </row>
    <row r="222" spans="1:16" ht="13.2" x14ac:dyDescent="0.2">
      <c r="A222" s="152">
        <v>12</v>
      </c>
      <c r="B222" s="157" t="s">
        <v>56</v>
      </c>
      <c r="C222" s="163" t="s">
        <v>248</v>
      </c>
      <c r="D222" s="157" t="s">
        <v>70</v>
      </c>
      <c r="E222" s="162">
        <v>136.80000000000001</v>
      </c>
      <c r="F222" s="133"/>
      <c r="G222" s="134"/>
      <c r="H222" s="135">
        <f t="shared" ref="H222" si="108">ROUND(F222*G222,2)</f>
        <v>0</v>
      </c>
      <c r="I222" s="134"/>
      <c r="J222" s="134"/>
      <c r="K222" s="134">
        <f t="shared" si="107"/>
        <v>0</v>
      </c>
      <c r="L222" s="105">
        <f t="shared" si="100"/>
        <v>0</v>
      </c>
      <c r="M222" s="87">
        <f t="shared" si="101"/>
        <v>0</v>
      </c>
      <c r="N222" s="87">
        <f t="shared" si="102"/>
        <v>0</v>
      </c>
      <c r="O222" s="87">
        <f t="shared" si="103"/>
        <v>0</v>
      </c>
      <c r="P222" s="88">
        <f t="shared" si="104"/>
        <v>0</v>
      </c>
    </row>
    <row r="223" spans="1:16" ht="13.2" x14ac:dyDescent="0.2">
      <c r="A223" s="160">
        <v>13</v>
      </c>
      <c r="B223" s="157"/>
      <c r="C223" s="164" t="s">
        <v>269</v>
      </c>
      <c r="D223" s="157" t="s">
        <v>157</v>
      </c>
      <c r="E223" s="162">
        <f>E222*0.15</f>
        <v>20.52</v>
      </c>
      <c r="F223" s="133"/>
      <c r="G223" s="134"/>
      <c r="H223" s="135"/>
      <c r="I223" s="134"/>
      <c r="J223" s="134"/>
      <c r="K223" s="134">
        <f t="shared" si="107"/>
        <v>0</v>
      </c>
      <c r="L223" s="105">
        <f t="shared" si="100"/>
        <v>0</v>
      </c>
      <c r="M223" s="87">
        <f t="shared" si="101"/>
        <v>0</v>
      </c>
      <c r="N223" s="87">
        <f t="shared" si="102"/>
        <v>0</v>
      </c>
      <c r="O223" s="87">
        <f t="shared" si="103"/>
        <v>0</v>
      </c>
      <c r="P223" s="88">
        <f t="shared" si="104"/>
        <v>0</v>
      </c>
    </row>
    <row r="224" spans="1:16" ht="26.4" x14ac:dyDescent="0.2">
      <c r="A224" s="152">
        <v>14</v>
      </c>
      <c r="B224" s="157"/>
      <c r="C224" s="164" t="s">
        <v>270</v>
      </c>
      <c r="D224" s="157" t="s">
        <v>165</v>
      </c>
      <c r="E224" s="162">
        <f>E222*3.5</f>
        <v>478.80000000000007</v>
      </c>
      <c r="F224" s="133"/>
      <c r="G224" s="134"/>
      <c r="H224" s="135"/>
      <c r="I224" s="134"/>
      <c r="J224" s="134"/>
      <c r="K224" s="134">
        <f t="shared" si="107"/>
        <v>0</v>
      </c>
      <c r="L224" s="105">
        <f t="shared" si="100"/>
        <v>0</v>
      </c>
      <c r="M224" s="87">
        <f t="shared" si="101"/>
        <v>0</v>
      </c>
      <c r="N224" s="87">
        <f t="shared" si="102"/>
        <v>0</v>
      </c>
      <c r="O224" s="87">
        <f t="shared" si="103"/>
        <v>0</v>
      </c>
      <c r="P224" s="88">
        <f t="shared" si="104"/>
        <v>0</v>
      </c>
    </row>
    <row r="225" spans="1:16" ht="13.2" x14ac:dyDescent="0.2">
      <c r="A225" s="152">
        <v>15</v>
      </c>
      <c r="B225" s="157" t="s">
        <v>56</v>
      </c>
      <c r="C225" s="163" t="s">
        <v>196</v>
      </c>
      <c r="D225" s="157" t="s">
        <v>60</v>
      </c>
      <c r="E225" s="162">
        <v>1</v>
      </c>
      <c r="F225" s="133"/>
      <c r="G225" s="134"/>
      <c r="H225" s="135">
        <f t="shared" ref="H225" si="109">ROUND(F225*G225,2)</f>
        <v>0</v>
      </c>
      <c r="I225" s="134"/>
      <c r="J225" s="134"/>
      <c r="K225" s="134">
        <f t="shared" si="107"/>
        <v>0</v>
      </c>
      <c r="L225" s="105">
        <f t="shared" si="100"/>
        <v>0</v>
      </c>
      <c r="M225" s="87">
        <f t="shared" si="101"/>
        <v>0</v>
      </c>
      <c r="N225" s="87">
        <f t="shared" si="102"/>
        <v>0</v>
      </c>
      <c r="O225" s="87">
        <f t="shared" si="103"/>
        <v>0</v>
      </c>
      <c r="P225" s="88">
        <f t="shared" si="104"/>
        <v>0</v>
      </c>
    </row>
    <row r="226" spans="1:16" ht="13.2" x14ac:dyDescent="0.2">
      <c r="A226" s="152"/>
      <c r="B226" s="157"/>
      <c r="C226" s="188" t="s">
        <v>271</v>
      </c>
      <c r="D226" s="157"/>
      <c r="E226" s="162"/>
      <c r="F226" s="133"/>
      <c r="G226" s="134"/>
      <c r="H226" s="135"/>
      <c r="I226" s="134"/>
      <c r="J226" s="134"/>
      <c r="K226" s="134"/>
      <c r="L226" s="105"/>
      <c r="M226" s="87"/>
      <c r="N226" s="87"/>
      <c r="O226" s="87"/>
      <c r="P226" s="88"/>
    </row>
    <row r="227" spans="1:16" ht="13.2" x14ac:dyDescent="0.2">
      <c r="A227" s="160">
        <v>1</v>
      </c>
      <c r="B227" s="157" t="s">
        <v>56</v>
      </c>
      <c r="C227" s="163" t="s">
        <v>272</v>
      </c>
      <c r="D227" s="157" t="s">
        <v>70</v>
      </c>
      <c r="E227" s="162">
        <v>52</v>
      </c>
      <c r="F227" s="133"/>
      <c r="G227" s="134"/>
      <c r="H227" s="135">
        <f t="shared" ref="H227:H230" si="110">ROUND(F227*G227,2)</f>
        <v>0</v>
      </c>
      <c r="I227" s="134"/>
      <c r="J227" s="134"/>
      <c r="K227" s="204">
        <f t="shared" ref="K227" si="111">ROUND(H227+J227+I227,2)</f>
        <v>0</v>
      </c>
      <c r="L227" s="105">
        <f t="shared" ref="L227:L233" si="112">ROUND(E227*F227,2)</f>
        <v>0</v>
      </c>
      <c r="M227" s="87">
        <f t="shared" ref="M227:M233" si="113">ROUND(E227*H227,2)</f>
        <v>0</v>
      </c>
      <c r="N227" s="87">
        <f t="shared" ref="N227:N233" si="114">ROUND(E227*I227,2)</f>
        <v>0</v>
      </c>
      <c r="O227" s="87">
        <f t="shared" ref="O227:O233" si="115">ROUND(E227*J227,2)</f>
        <v>0</v>
      </c>
      <c r="P227" s="88">
        <f t="shared" ref="P227:P233" si="116">ROUND(O227+N227+M227,2)</f>
        <v>0</v>
      </c>
    </row>
    <row r="228" spans="1:16" ht="13.2" x14ac:dyDescent="0.2">
      <c r="A228" s="152">
        <v>2</v>
      </c>
      <c r="B228" s="157" t="s">
        <v>56</v>
      </c>
      <c r="C228" s="163" t="s">
        <v>273</v>
      </c>
      <c r="D228" s="157" t="s">
        <v>58</v>
      </c>
      <c r="E228" s="162">
        <v>129.9</v>
      </c>
      <c r="F228" s="133"/>
      <c r="G228" s="134"/>
      <c r="H228" s="135">
        <f t="shared" si="110"/>
        <v>0</v>
      </c>
      <c r="I228" s="134"/>
      <c r="J228" s="134"/>
      <c r="K228" s="204"/>
      <c r="L228" s="105">
        <f t="shared" si="112"/>
        <v>0</v>
      </c>
      <c r="M228" s="87">
        <f t="shared" si="113"/>
        <v>0</v>
      </c>
      <c r="N228" s="87">
        <f t="shared" si="114"/>
        <v>0</v>
      </c>
      <c r="O228" s="87">
        <f t="shared" si="115"/>
        <v>0</v>
      </c>
      <c r="P228" s="88">
        <f t="shared" si="116"/>
        <v>0</v>
      </c>
    </row>
    <row r="229" spans="1:16" ht="13.2" x14ac:dyDescent="0.2">
      <c r="A229" s="152">
        <v>3</v>
      </c>
      <c r="B229" s="157" t="s">
        <v>56</v>
      </c>
      <c r="C229" s="163" t="s">
        <v>274</v>
      </c>
      <c r="D229" s="157" t="s">
        <v>70</v>
      </c>
      <c r="E229" s="162">
        <f>E227</f>
        <v>52</v>
      </c>
      <c r="F229" s="133"/>
      <c r="G229" s="134"/>
      <c r="H229" s="135">
        <f t="shared" si="110"/>
        <v>0</v>
      </c>
      <c r="I229" s="134"/>
      <c r="J229" s="134"/>
      <c r="K229" s="204">
        <f t="shared" ref="K229:K233" si="117">ROUND(H229+J229+I229,2)</f>
        <v>0</v>
      </c>
      <c r="L229" s="105">
        <f t="shared" si="112"/>
        <v>0</v>
      </c>
      <c r="M229" s="87">
        <f t="shared" si="113"/>
        <v>0</v>
      </c>
      <c r="N229" s="87">
        <f t="shared" si="114"/>
        <v>0</v>
      </c>
      <c r="O229" s="87">
        <f t="shared" si="115"/>
        <v>0</v>
      </c>
      <c r="P229" s="88">
        <f t="shared" si="116"/>
        <v>0</v>
      </c>
    </row>
    <row r="230" spans="1:16" ht="13.2" x14ac:dyDescent="0.2">
      <c r="A230" s="160">
        <v>4</v>
      </c>
      <c r="B230" s="157" t="s">
        <v>56</v>
      </c>
      <c r="C230" s="163" t="s">
        <v>275</v>
      </c>
      <c r="D230" s="157" t="s">
        <v>70</v>
      </c>
      <c r="E230" s="162">
        <f>E229</f>
        <v>52</v>
      </c>
      <c r="F230" s="133"/>
      <c r="G230" s="134"/>
      <c r="H230" s="135">
        <f t="shared" si="110"/>
        <v>0</v>
      </c>
      <c r="I230" s="134"/>
      <c r="J230" s="134"/>
      <c r="K230" s="204">
        <f t="shared" si="117"/>
        <v>0</v>
      </c>
      <c r="L230" s="105">
        <f t="shared" si="112"/>
        <v>0</v>
      </c>
      <c r="M230" s="87">
        <f t="shared" si="113"/>
        <v>0</v>
      </c>
      <c r="N230" s="87">
        <f t="shared" si="114"/>
        <v>0</v>
      </c>
      <c r="O230" s="87">
        <f t="shared" si="115"/>
        <v>0</v>
      </c>
      <c r="P230" s="88">
        <f t="shared" si="116"/>
        <v>0</v>
      </c>
    </row>
    <row r="231" spans="1:16" ht="13.2" x14ac:dyDescent="0.2">
      <c r="A231" s="160">
        <v>5</v>
      </c>
      <c r="B231" s="157"/>
      <c r="C231" s="164" t="s">
        <v>276</v>
      </c>
      <c r="D231" s="157" t="s">
        <v>157</v>
      </c>
      <c r="E231" s="162">
        <f>E230*0.17</f>
        <v>8.84</v>
      </c>
      <c r="F231" s="133"/>
      <c r="G231" s="134"/>
      <c r="H231" s="135"/>
      <c r="I231" s="134"/>
      <c r="J231" s="134"/>
      <c r="K231" s="204">
        <f t="shared" si="117"/>
        <v>0</v>
      </c>
      <c r="L231" s="105">
        <f t="shared" si="112"/>
        <v>0</v>
      </c>
      <c r="M231" s="87">
        <f t="shared" si="113"/>
        <v>0</v>
      </c>
      <c r="N231" s="87">
        <f t="shared" si="114"/>
        <v>0</v>
      </c>
      <c r="O231" s="87">
        <f t="shared" si="115"/>
        <v>0</v>
      </c>
      <c r="P231" s="88">
        <f t="shared" si="116"/>
        <v>0</v>
      </c>
    </row>
    <row r="232" spans="1:16" ht="13.2" x14ac:dyDescent="0.2">
      <c r="A232" s="152">
        <v>6</v>
      </c>
      <c r="B232" s="157"/>
      <c r="C232" s="164" t="s">
        <v>277</v>
      </c>
      <c r="D232" s="157" t="s">
        <v>157</v>
      </c>
      <c r="E232" s="173">
        <f>E230*0.12*2*1.05</f>
        <v>13.104000000000001</v>
      </c>
      <c r="F232" s="133"/>
      <c r="G232" s="134"/>
      <c r="H232" s="135"/>
      <c r="I232" s="134"/>
      <c r="J232" s="134"/>
      <c r="K232" s="204">
        <f t="shared" si="117"/>
        <v>0</v>
      </c>
      <c r="L232" s="105">
        <f t="shared" si="112"/>
        <v>0</v>
      </c>
      <c r="M232" s="87">
        <f t="shared" si="113"/>
        <v>0</v>
      </c>
      <c r="N232" s="87">
        <f t="shared" si="114"/>
        <v>0</v>
      </c>
      <c r="O232" s="87">
        <f t="shared" si="115"/>
        <v>0</v>
      </c>
      <c r="P232" s="88">
        <f t="shared" si="116"/>
        <v>0</v>
      </c>
    </row>
    <row r="233" spans="1:16" ht="13.2" x14ac:dyDescent="0.2">
      <c r="A233" s="152">
        <v>7</v>
      </c>
      <c r="B233" s="157" t="s">
        <v>56</v>
      </c>
      <c r="C233" s="163" t="s">
        <v>196</v>
      </c>
      <c r="D233" s="157" t="s">
        <v>60</v>
      </c>
      <c r="E233" s="162">
        <v>1</v>
      </c>
      <c r="F233" s="133"/>
      <c r="G233" s="134"/>
      <c r="H233" s="135">
        <f t="shared" ref="H233" si="118">ROUND(F233*G233,2)</f>
        <v>0</v>
      </c>
      <c r="I233" s="134"/>
      <c r="J233" s="134"/>
      <c r="K233" s="134">
        <f t="shared" si="117"/>
        <v>0</v>
      </c>
      <c r="L233" s="105">
        <f t="shared" si="112"/>
        <v>0</v>
      </c>
      <c r="M233" s="87">
        <f t="shared" si="113"/>
        <v>0</v>
      </c>
      <c r="N233" s="87">
        <f t="shared" si="114"/>
        <v>0</v>
      </c>
      <c r="O233" s="87">
        <f t="shared" si="115"/>
        <v>0</v>
      </c>
      <c r="P233" s="88">
        <f t="shared" si="116"/>
        <v>0</v>
      </c>
    </row>
    <row r="234" spans="1:16" ht="26.4" x14ac:dyDescent="0.2">
      <c r="A234" s="160"/>
      <c r="B234" s="157"/>
      <c r="C234" s="139" t="s">
        <v>280</v>
      </c>
      <c r="D234" s="157"/>
      <c r="E234" s="162"/>
      <c r="F234" s="133"/>
      <c r="G234" s="134"/>
      <c r="H234" s="135"/>
      <c r="I234" s="134"/>
      <c r="J234" s="134"/>
      <c r="K234" s="134"/>
      <c r="L234" s="105"/>
      <c r="M234" s="87"/>
      <c r="N234" s="87"/>
      <c r="O234" s="87"/>
      <c r="P234" s="88"/>
    </row>
    <row r="235" spans="1:16" ht="26.4" x14ac:dyDescent="0.2">
      <c r="A235" s="160">
        <v>1</v>
      </c>
      <c r="B235" s="157" t="s">
        <v>56</v>
      </c>
      <c r="C235" s="163" t="s">
        <v>261</v>
      </c>
      <c r="D235" s="157" t="s">
        <v>262</v>
      </c>
      <c r="E235" s="162">
        <v>2</v>
      </c>
      <c r="F235" s="133"/>
      <c r="G235" s="134"/>
      <c r="H235" s="135">
        <f t="shared" ref="H235" si="119">ROUND(F235*G235,2)</f>
        <v>0</v>
      </c>
      <c r="I235" s="134"/>
      <c r="J235" s="134"/>
      <c r="K235" s="134">
        <f t="shared" ref="K235" si="120">ROUND(H235+J235+I235,2)</f>
        <v>0</v>
      </c>
      <c r="L235" s="105">
        <f t="shared" ref="L235" si="121">ROUND(E235*F235,2)</f>
        <v>0</v>
      </c>
      <c r="M235" s="87">
        <f t="shared" ref="M235" si="122">ROUND(E235*H235,2)</f>
        <v>0</v>
      </c>
      <c r="N235" s="87">
        <f t="shared" ref="N235" si="123">ROUND(E235*I235,2)</f>
        <v>0</v>
      </c>
      <c r="O235" s="87">
        <f t="shared" ref="O235" si="124">ROUND(E235*J235,2)</f>
        <v>0</v>
      </c>
      <c r="P235" s="88">
        <f t="shared" ref="P235" si="125">ROUND(O235+N235+M235,2)</f>
        <v>0</v>
      </c>
    </row>
    <row r="236" spans="1:16" ht="13.2" x14ac:dyDescent="0.2">
      <c r="A236" s="160"/>
      <c r="B236" s="157"/>
      <c r="C236" s="188" t="s">
        <v>263</v>
      </c>
      <c r="D236" s="157"/>
      <c r="E236" s="162"/>
      <c r="F236" s="133"/>
      <c r="G236" s="134"/>
      <c r="H236" s="135"/>
      <c r="I236" s="134"/>
      <c r="J236" s="134"/>
      <c r="K236" s="134"/>
      <c r="L236" s="105"/>
      <c r="M236" s="87"/>
      <c r="N236" s="87"/>
      <c r="O236" s="87"/>
      <c r="P236" s="88"/>
    </row>
    <row r="237" spans="1:16" ht="13.2" x14ac:dyDescent="0.2">
      <c r="A237" s="160">
        <v>1</v>
      </c>
      <c r="B237" s="157" t="s">
        <v>56</v>
      </c>
      <c r="C237" s="163" t="s">
        <v>264</v>
      </c>
      <c r="D237" s="157" t="s">
        <v>58</v>
      </c>
      <c r="E237" s="162">
        <v>37.4</v>
      </c>
      <c r="F237" s="133"/>
      <c r="G237" s="134"/>
      <c r="H237" s="135">
        <f t="shared" ref="H237:H240" si="126">ROUND(F237*G237,2)</f>
        <v>0</v>
      </c>
      <c r="I237" s="134"/>
      <c r="J237" s="134"/>
      <c r="K237" s="134"/>
      <c r="L237" s="105">
        <f t="shared" ref="L237:L251" si="127">ROUND(E237*F237,2)</f>
        <v>0</v>
      </c>
      <c r="M237" s="87">
        <f t="shared" ref="M237:M251" si="128">ROUND(E237*H237,2)</f>
        <v>0</v>
      </c>
      <c r="N237" s="87">
        <f t="shared" ref="N237:N251" si="129">ROUND(E237*I237,2)</f>
        <v>0</v>
      </c>
      <c r="O237" s="87">
        <f t="shared" ref="O237:O251" si="130">ROUND(E237*J237,2)</f>
        <v>0</v>
      </c>
      <c r="P237" s="88">
        <f t="shared" ref="P237:P251" si="131">ROUND(O237+N237+M237,2)</f>
        <v>0</v>
      </c>
    </row>
    <row r="238" spans="1:16" ht="26.4" x14ac:dyDescent="0.2">
      <c r="A238" s="152">
        <v>2</v>
      </c>
      <c r="B238" s="157" t="s">
        <v>56</v>
      </c>
      <c r="C238" s="163" t="s">
        <v>265</v>
      </c>
      <c r="D238" s="157" t="s">
        <v>58</v>
      </c>
      <c r="E238" s="162">
        <v>10.7</v>
      </c>
      <c r="F238" s="133"/>
      <c r="G238" s="134"/>
      <c r="H238" s="135">
        <f t="shared" si="126"/>
        <v>0</v>
      </c>
      <c r="I238" s="134"/>
      <c r="J238" s="134"/>
      <c r="K238" s="134">
        <f t="shared" ref="K238:K240" si="132">ROUND(H238+J238+I238,2)</f>
        <v>0</v>
      </c>
      <c r="L238" s="105">
        <f t="shared" si="127"/>
        <v>0</v>
      </c>
      <c r="M238" s="87">
        <f t="shared" si="128"/>
        <v>0</v>
      </c>
      <c r="N238" s="87">
        <f t="shared" si="129"/>
        <v>0</v>
      </c>
      <c r="O238" s="87">
        <f t="shared" si="130"/>
        <v>0</v>
      </c>
      <c r="P238" s="88">
        <f t="shared" si="131"/>
        <v>0</v>
      </c>
    </row>
    <row r="239" spans="1:16" ht="13.2" x14ac:dyDescent="0.2">
      <c r="A239" s="152">
        <v>3</v>
      </c>
      <c r="B239" s="157" t="s">
        <v>56</v>
      </c>
      <c r="C239" s="163" t="s">
        <v>266</v>
      </c>
      <c r="D239" s="157" t="s">
        <v>58</v>
      </c>
      <c r="E239" s="162">
        <f>E237</f>
        <v>37.4</v>
      </c>
      <c r="F239" s="133"/>
      <c r="G239" s="134"/>
      <c r="H239" s="135">
        <f t="shared" si="126"/>
        <v>0</v>
      </c>
      <c r="I239" s="134"/>
      <c r="J239" s="134"/>
      <c r="K239" s="134">
        <f t="shared" si="132"/>
        <v>0</v>
      </c>
      <c r="L239" s="105">
        <f t="shared" si="127"/>
        <v>0</v>
      </c>
      <c r="M239" s="87">
        <f t="shared" si="128"/>
        <v>0</v>
      </c>
      <c r="N239" s="87">
        <f t="shared" si="129"/>
        <v>0</v>
      </c>
      <c r="O239" s="87">
        <f t="shared" si="130"/>
        <v>0</v>
      </c>
      <c r="P239" s="88">
        <f t="shared" si="131"/>
        <v>0</v>
      </c>
    </row>
    <row r="240" spans="1:16" ht="13.2" x14ac:dyDescent="0.2">
      <c r="A240" s="160">
        <v>4</v>
      </c>
      <c r="B240" s="157" t="s">
        <v>56</v>
      </c>
      <c r="C240" s="163" t="s">
        <v>267</v>
      </c>
      <c r="D240" s="157" t="s">
        <v>70</v>
      </c>
      <c r="E240" s="162">
        <v>13</v>
      </c>
      <c r="F240" s="133"/>
      <c r="G240" s="134"/>
      <c r="H240" s="135">
        <f t="shared" si="126"/>
        <v>0</v>
      </c>
      <c r="I240" s="134"/>
      <c r="J240" s="134"/>
      <c r="K240" s="134">
        <f t="shared" si="132"/>
        <v>0</v>
      </c>
      <c r="L240" s="105">
        <f t="shared" si="127"/>
        <v>0</v>
      </c>
      <c r="M240" s="87">
        <f t="shared" si="128"/>
        <v>0</v>
      </c>
      <c r="N240" s="87">
        <f t="shared" si="129"/>
        <v>0</v>
      </c>
      <c r="O240" s="87">
        <f t="shared" si="130"/>
        <v>0</v>
      </c>
      <c r="P240" s="88">
        <f t="shared" si="131"/>
        <v>0</v>
      </c>
    </row>
    <row r="241" spans="1:16" ht="13.2" x14ac:dyDescent="0.2">
      <c r="A241" s="152">
        <v>5</v>
      </c>
      <c r="B241" s="157"/>
      <c r="C241" s="164" t="s">
        <v>160</v>
      </c>
      <c r="D241" s="157" t="s">
        <v>157</v>
      </c>
      <c r="E241" s="162">
        <f>E240*0.12</f>
        <v>1.56</v>
      </c>
      <c r="F241" s="133"/>
      <c r="G241" s="134"/>
      <c r="H241" s="135"/>
      <c r="I241" s="134"/>
      <c r="J241" s="134"/>
      <c r="K241" s="134">
        <f>ROUND(H241+J241+I241,2)</f>
        <v>0</v>
      </c>
      <c r="L241" s="105">
        <f t="shared" si="127"/>
        <v>0</v>
      </c>
      <c r="M241" s="87">
        <f t="shared" si="128"/>
        <v>0</v>
      </c>
      <c r="N241" s="87">
        <f t="shared" si="129"/>
        <v>0</v>
      </c>
      <c r="O241" s="87">
        <f t="shared" si="130"/>
        <v>0</v>
      </c>
      <c r="P241" s="88">
        <f t="shared" si="131"/>
        <v>0</v>
      </c>
    </row>
    <row r="242" spans="1:16" ht="13.2" x14ac:dyDescent="0.2">
      <c r="A242" s="152">
        <v>6</v>
      </c>
      <c r="B242" s="157"/>
      <c r="C242" s="164" t="s">
        <v>174</v>
      </c>
      <c r="D242" s="157" t="s">
        <v>165</v>
      </c>
      <c r="E242" s="173">
        <f>E240*5</f>
        <v>65</v>
      </c>
      <c r="F242" s="133"/>
      <c r="G242" s="134"/>
      <c r="H242" s="135"/>
      <c r="I242" s="134"/>
      <c r="J242" s="134"/>
      <c r="K242" s="134">
        <f>ROUND(H242+J242+I242,2)</f>
        <v>0</v>
      </c>
      <c r="L242" s="105">
        <f t="shared" si="127"/>
        <v>0</v>
      </c>
      <c r="M242" s="87">
        <f t="shared" si="128"/>
        <v>0</v>
      </c>
      <c r="N242" s="87">
        <f t="shared" si="129"/>
        <v>0</v>
      </c>
      <c r="O242" s="87">
        <f t="shared" si="130"/>
        <v>0</v>
      </c>
      <c r="P242" s="88">
        <f t="shared" si="131"/>
        <v>0</v>
      </c>
    </row>
    <row r="243" spans="1:16" ht="26.4" x14ac:dyDescent="0.2">
      <c r="A243" s="160">
        <v>7</v>
      </c>
      <c r="B243" s="157"/>
      <c r="C243" s="164" t="s">
        <v>268</v>
      </c>
      <c r="D243" s="157" t="s">
        <v>70</v>
      </c>
      <c r="E243" s="162">
        <f>E240*1.05</f>
        <v>13.65</v>
      </c>
      <c r="F243" s="133"/>
      <c r="G243" s="134"/>
      <c r="H243" s="135"/>
      <c r="I243" s="134"/>
      <c r="J243" s="134"/>
      <c r="K243" s="134">
        <f>ROUND(H243+J243+I243,2)</f>
        <v>0</v>
      </c>
      <c r="L243" s="105">
        <f t="shared" si="127"/>
        <v>0</v>
      </c>
      <c r="M243" s="87">
        <f t="shared" si="128"/>
        <v>0</v>
      </c>
      <c r="N243" s="87">
        <f t="shared" si="129"/>
        <v>0</v>
      </c>
      <c r="O243" s="87">
        <f t="shared" si="130"/>
        <v>0</v>
      </c>
      <c r="P243" s="88">
        <f t="shared" si="131"/>
        <v>0</v>
      </c>
    </row>
    <row r="244" spans="1:16" ht="13.2" x14ac:dyDescent="0.2">
      <c r="A244" s="152">
        <v>8</v>
      </c>
      <c r="B244" s="157" t="s">
        <v>56</v>
      </c>
      <c r="C244" s="163" t="s">
        <v>177</v>
      </c>
      <c r="D244" s="157" t="s">
        <v>70</v>
      </c>
      <c r="E244" s="162">
        <v>12.5</v>
      </c>
      <c r="F244" s="133"/>
      <c r="G244" s="134"/>
      <c r="H244" s="135">
        <f t="shared" ref="H244" si="133">ROUND(F244*G244,2)</f>
        <v>0</v>
      </c>
      <c r="I244" s="134"/>
      <c r="J244" s="134"/>
      <c r="K244" s="134">
        <f t="shared" ref="K244:K251" si="134">ROUND(H244+J244+I244,2)</f>
        <v>0</v>
      </c>
      <c r="L244" s="105">
        <f t="shared" si="127"/>
        <v>0</v>
      </c>
      <c r="M244" s="87">
        <f t="shared" si="128"/>
        <v>0</v>
      </c>
      <c r="N244" s="87">
        <f t="shared" si="129"/>
        <v>0</v>
      </c>
      <c r="O244" s="87">
        <f t="shared" si="130"/>
        <v>0</v>
      </c>
      <c r="P244" s="88">
        <f t="shared" si="131"/>
        <v>0</v>
      </c>
    </row>
    <row r="245" spans="1:16" ht="13.2" x14ac:dyDescent="0.2">
      <c r="A245" s="152">
        <v>9</v>
      </c>
      <c r="B245" s="157"/>
      <c r="C245" s="164" t="s">
        <v>160</v>
      </c>
      <c r="D245" s="157" t="s">
        <v>157</v>
      </c>
      <c r="E245" s="162">
        <f>E244*0.12</f>
        <v>1.5</v>
      </c>
      <c r="F245" s="133"/>
      <c r="G245" s="134"/>
      <c r="H245" s="135"/>
      <c r="I245" s="134"/>
      <c r="J245" s="134"/>
      <c r="K245" s="134">
        <f t="shared" si="134"/>
        <v>0</v>
      </c>
      <c r="L245" s="105">
        <f t="shared" si="127"/>
        <v>0</v>
      </c>
      <c r="M245" s="87">
        <f t="shared" si="128"/>
        <v>0</v>
      </c>
      <c r="N245" s="87">
        <f t="shared" si="129"/>
        <v>0</v>
      </c>
      <c r="O245" s="87">
        <f t="shared" si="130"/>
        <v>0</v>
      </c>
      <c r="P245" s="88">
        <f t="shared" si="131"/>
        <v>0</v>
      </c>
    </row>
    <row r="246" spans="1:16" ht="13.2" x14ac:dyDescent="0.2">
      <c r="A246" s="160">
        <v>10</v>
      </c>
      <c r="B246" s="157"/>
      <c r="C246" s="164" t="s">
        <v>178</v>
      </c>
      <c r="D246" s="157" t="s">
        <v>165</v>
      </c>
      <c r="E246" s="173">
        <f>E244*4.5</f>
        <v>56.25</v>
      </c>
      <c r="F246" s="133"/>
      <c r="G246" s="134"/>
      <c r="H246" s="135"/>
      <c r="I246" s="134"/>
      <c r="J246" s="134"/>
      <c r="K246" s="134">
        <f t="shared" si="134"/>
        <v>0</v>
      </c>
      <c r="L246" s="105">
        <f t="shared" si="127"/>
        <v>0</v>
      </c>
      <c r="M246" s="87">
        <f t="shared" si="128"/>
        <v>0</v>
      </c>
      <c r="N246" s="87">
        <f t="shared" si="129"/>
        <v>0</v>
      </c>
      <c r="O246" s="87">
        <f t="shared" si="130"/>
        <v>0</v>
      </c>
      <c r="P246" s="88">
        <f t="shared" si="131"/>
        <v>0</v>
      </c>
    </row>
    <row r="247" spans="1:16" ht="13.2" x14ac:dyDescent="0.2">
      <c r="A247" s="152">
        <v>11</v>
      </c>
      <c r="B247" s="157"/>
      <c r="C247" s="164" t="s">
        <v>170</v>
      </c>
      <c r="D247" s="157" t="s">
        <v>70</v>
      </c>
      <c r="E247" s="162">
        <f>E244*1.2</f>
        <v>15</v>
      </c>
      <c r="F247" s="133"/>
      <c r="G247" s="134"/>
      <c r="H247" s="135"/>
      <c r="I247" s="134"/>
      <c r="J247" s="134"/>
      <c r="K247" s="134">
        <f t="shared" si="134"/>
        <v>0</v>
      </c>
      <c r="L247" s="105">
        <f t="shared" si="127"/>
        <v>0</v>
      </c>
      <c r="M247" s="87">
        <f t="shared" si="128"/>
        <v>0</v>
      </c>
      <c r="N247" s="87">
        <f t="shared" si="129"/>
        <v>0</v>
      </c>
      <c r="O247" s="87">
        <f t="shared" si="130"/>
        <v>0</v>
      </c>
      <c r="P247" s="88">
        <f t="shared" si="131"/>
        <v>0</v>
      </c>
    </row>
    <row r="248" spans="1:16" ht="13.2" x14ac:dyDescent="0.2">
      <c r="A248" s="152">
        <v>12</v>
      </c>
      <c r="B248" s="157" t="s">
        <v>56</v>
      </c>
      <c r="C248" s="163" t="s">
        <v>248</v>
      </c>
      <c r="D248" s="157" t="s">
        <v>70</v>
      </c>
      <c r="E248" s="162">
        <v>9.4</v>
      </c>
      <c r="F248" s="133"/>
      <c r="G248" s="134"/>
      <c r="H248" s="135">
        <f t="shared" ref="H248" si="135">ROUND(F248*G248,2)</f>
        <v>0</v>
      </c>
      <c r="I248" s="134"/>
      <c r="J248" s="134"/>
      <c r="K248" s="134">
        <f t="shared" si="134"/>
        <v>0</v>
      </c>
      <c r="L248" s="105">
        <f t="shared" si="127"/>
        <v>0</v>
      </c>
      <c r="M248" s="87">
        <f t="shared" si="128"/>
        <v>0</v>
      </c>
      <c r="N248" s="87">
        <f t="shared" si="129"/>
        <v>0</v>
      </c>
      <c r="O248" s="87">
        <f t="shared" si="130"/>
        <v>0</v>
      </c>
      <c r="P248" s="88">
        <f t="shared" si="131"/>
        <v>0</v>
      </c>
    </row>
    <row r="249" spans="1:16" ht="13.2" x14ac:dyDescent="0.2">
      <c r="A249" s="160">
        <v>13</v>
      </c>
      <c r="B249" s="157"/>
      <c r="C249" s="164" t="s">
        <v>269</v>
      </c>
      <c r="D249" s="157" t="s">
        <v>157</v>
      </c>
      <c r="E249" s="162">
        <f>E248*0.15</f>
        <v>1.41</v>
      </c>
      <c r="F249" s="133"/>
      <c r="G249" s="134"/>
      <c r="H249" s="135"/>
      <c r="I249" s="134"/>
      <c r="J249" s="134"/>
      <c r="K249" s="134">
        <f t="shared" si="134"/>
        <v>0</v>
      </c>
      <c r="L249" s="105">
        <f t="shared" si="127"/>
        <v>0</v>
      </c>
      <c r="M249" s="87">
        <f t="shared" si="128"/>
        <v>0</v>
      </c>
      <c r="N249" s="87">
        <f t="shared" si="129"/>
        <v>0</v>
      </c>
      <c r="O249" s="87">
        <f t="shared" si="130"/>
        <v>0</v>
      </c>
      <c r="P249" s="88">
        <f t="shared" si="131"/>
        <v>0</v>
      </c>
    </row>
    <row r="250" spans="1:16" ht="26.4" x14ac:dyDescent="0.2">
      <c r="A250" s="152">
        <v>14</v>
      </c>
      <c r="B250" s="157"/>
      <c r="C250" s="164" t="s">
        <v>270</v>
      </c>
      <c r="D250" s="157" t="s">
        <v>165</v>
      </c>
      <c r="E250" s="162">
        <f>E248*3.5</f>
        <v>32.9</v>
      </c>
      <c r="F250" s="133"/>
      <c r="G250" s="134"/>
      <c r="H250" s="135"/>
      <c r="I250" s="134"/>
      <c r="J250" s="134"/>
      <c r="K250" s="134">
        <f t="shared" si="134"/>
        <v>0</v>
      </c>
      <c r="L250" s="105">
        <f t="shared" si="127"/>
        <v>0</v>
      </c>
      <c r="M250" s="87">
        <f t="shared" si="128"/>
        <v>0</v>
      </c>
      <c r="N250" s="87">
        <f t="shared" si="129"/>
        <v>0</v>
      </c>
      <c r="O250" s="87">
        <f t="shared" si="130"/>
        <v>0</v>
      </c>
      <c r="P250" s="88">
        <f t="shared" si="131"/>
        <v>0</v>
      </c>
    </row>
    <row r="251" spans="1:16" ht="13.2" x14ac:dyDescent="0.2">
      <c r="A251" s="152">
        <v>15</v>
      </c>
      <c r="B251" s="157" t="s">
        <v>56</v>
      </c>
      <c r="C251" s="163" t="s">
        <v>196</v>
      </c>
      <c r="D251" s="157" t="s">
        <v>60</v>
      </c>
      <c r="E251" s="162">
        <v>1</v>
      </c>
      <c r="F251" s="133"/>
      <c r="G251" s="134"/>
      <c r="H251" s="135">
        <f t="shared" ref="H251" si="136">ROUND(F251*G251,2)</f>
        <v>0</v>
      </c>
      <c r="I251" s="134"/>
      <c r="J251" s="134"/>
      <c r="K251" s="134">
        <f t="shared" si="134"/>
        <v>0</v>
      </c>
      <c r="L251" s="105">
        <f t="shared" si="127"/>
        <v>0</v>
      </c>
      <c r="M251" s="87">
        <f t="shared" si="128"/>
        <v>0</v>
      </c>
      <c r="N251" s="87">
        <f t="shared" si="129"/>
        <v>0</v>
      </c>
      <c r="O251" s="87">
        <f t="shared" si="130"/>
        <v>0</v>
      </c>
      <c r="P251" s="88">
        <f t="shared" si="131"/>
        <v>0</v>
      </c>
    </row>
    <row r="252" spans="1:16" ht="13.2" x14ac:dyDescent="0.2">
      <c r="A252" s="152"/>
      <c r="B252" s="157"/>
      <c r="C252" s="188" t="s">
        <v>271</v>
      </c>
      <c r="D252" s="157"/>
      <c r="E252" s="162"/>
      <c r="F252" s="133"/>
      <c r="G252" s="134"/>
      <c r="H252" s="135"/>
      <c r="I252" s="134"/>
      <c r="J252" s="134"/>
      <c r="K252" s="134"/>
      <c r="L252" s="105"/>
      <c r="M252" s="87"/>
      <c r="N252" s="87"/>
      <c r="O252" s="87"/>
      <c r="P252" s="88"/>
    </row>
    <row r="253" spans="1:16" ht="13.2" x14ac:dyDescent="0.2">
      <c r="A253" s="160">
        <v>1</v>
      </c>
      <c r="B253" s="157" t="s">
        <v>56</v>
      </c>
      <c r="C253" s="163" t="s">
        <v>272</v>
      </c>
      <c r="D253" s="157" t="s">
        <v>70</v>
      </c>
      <c r="E253" s="162">
        <v>2.7</v>
      </c>
      <c r="F253" s="133"/>
      <c r="G253" s="134"/>
      <c r="H253" s="135">
        <f t="shared" ref="H253:H256" si="137">ROUND(F253*G253,2)</f>
        <v>0</v>
      </c>
      <c r="I253" s="134"/>
      <c r="J253" s="134"/>
      <c r="K253" s="204">
        <f t="shared" ref="K253" si="138">ROUND(H253+J253+I253,2)</f>
        <v>0</v>
      </c>
      <c r="L253" s="105">
        <f t="shared" ref="L253:L259" si="139">ROUND(E253*F253,2)</f>
        <v>0</v>
      </c>
      <c r="M253" s="87">
        <f t="shared" ref="M253:M259" si="140">ROUND(E253*H253,2)</f>
        <v>0</v>
      </c>
      <c r="N253" s="87">
        <f t="shared" ref="N253:N259" si="141">ROUND(E253*I253,2)</f>
        <v>0</v>
      </c>
      <c r="O253" s="87">
        <f t="shared" ref="O253:O259" si="142">ROUND(E253*J253,2)</f>
        <v>0</v>
      </c>
      <c r="P253" s="88">
        <f t="shared" ref="P253:P259" si="143">ROUND(O253+N253+M253,2)</f>
        <v>0</v>
      </c>
    </row>
    <row r="254" spans="1:16" ht="13.2" x14ac:dyDescent="0.2">
      <c r="A254" s="152">
        <v>2</v>
      </c>
      <c r="B254" s="157" t="s">
        <v>56</v>
      </c>
      <c r="C254" s="163" t="s">
        <v>273</v>
      </c>
      <c r="D254" s="157" t="s">
        <v>58</v>
      </c>
      <c r="E254" s="162">
        <v>6.8</v>
      </c>
      <c r="F254" s="133"/>
      <c r="G254" s="134"/>
      <c r="H254" s="135">
        <f t="shared" si="137"/>
        <v>0</v>
      </c>
      <c r="I254" s="134"/>
      <c r="J254" s="134"/>
      <c r="K254" s="204"/>
      <c r="L254" s="105">
        <f t="shared" si="139"/>
        <v>0</v>
      </c>
      <c r="M254" s="87">
        <f t="shared" si="140"/>
        <v>0</v>
      </c>
      <c r="N254" s="87">
        <f t="shared" si="141"/>
        <v>0</v>
      </c>
      <c r="O254" s="87">
        <f t="shared" si="142"/>
        <v>0</v>
      </c>
      <c r="P254" s="88">
        <f t="shared" si="143"/>
        <v>0</v>
      </c>
    </row>
    <row r="255" spans="1:16" ht="13.2" x14ac:dyDescent="0.2">
      <c r="A255" s="152">
        <v>3</v>
      </c>
      <c r="B255" s="157" t="s">
        <v>56</v>
      </c>
      <c r="C255" s="163" t="s">
        <v>274</v>
      </c>
      <c r="D255" s="157" t="s">
        <v>70</v>
      </c>
      <c r="E255" s="162">
        <f>E253</f>
        <v>2.7</v>
      </c>
      <c r="F255" s="133"/>
      <c r="G255" s="134"/>
      <c r="H255" s="135">
        <f t="shared" si="137"/>
        <v>0</v>
      </c>
      <c r="I255" s="134"/>
      <c r="J255" s="134"/>
      <c r="K255" s="204">
        <f t="shared" ref="K255:K259" si="144">ROUND(H255+J255+I255,2)</f>
        <v>0</v>
      </c>
      <c r="L255" s="105">
        <f t="shared" si="139"/>
        <v>0</v>
      </c>
      <c r="M255" s="87">
        <f t="shared" si="140"/>
        <v>0</v>
      </c>
      <c r="N255" s="87">
        <f t="shared" si="141"/>
        <v>0</v>
      </c>
      <c r="O255" s="87">
        <f t="shared" si="142"/>
        <v>0</v>
      </c>
      <c r="P255" s="88">
        <f t="shared" si="143"/>
        <v>0</v>
      </c>
    </row>
    <row r="256" spans="1:16" ht="13.2" x14ac:dyDescent="0.2">
      <c r="A256" s="160">
        <v>4</v>
      </c>
      <c r="B256" s="157" t="s">
        <v>56</v>
      </c>
      <c r="C256" s="163" t="s">
        <v>275</v>
      </c>
      <c r="D256" s="157" t="s">
        <v>70</v>
      </c>
      <c r="E256" s="162">
        <f>E255</f>
        <v>2.7</v>
      </c>
      <c r="F256" s="133"/>
      <c r="G256" s="134"/>
      <c r="H256" s="135">
        <f t="shared" si="137"/>
        <v>0</v>
      </c>
      <c r="I256" s="134"/>
      <c r="J256" s="134"/>
      <c r="K256" s="204">
        <f t="shared" si="144"/>
        <v>0</v>
      </c>
      <c r="L256" s="105">
        <f t="shared" si="139"/>
        <v>0</v>
      </c>
      <c r="M256" s="87">
        <f t="shared" si="140"/>
        <v>0</v>
      </c>
      <c r="N256" s="87">
        <f t="shared" si="141"/>
        <v>0</v>
      </c>
      <c r="O256" s="87">
        <f t="shared" si="142"/>
        <v>0</v>
      </c>
      <c r="P256" s="88">
        <f t="shared" si="143"/>
        <v>0</v>
      </c>
    </row>
    <row r="257" spans="1:19" ht="13.2" x14ac:dyDescent="0.2">
      <c r="A257" s="160">
        <v>5</v>
      </c>
      <c r="B257" s="157"/>
      <c r="C257" s="164" t="s">
        <v>276</v>
      </c>
      <c r="D257" s="157" t="s">
        <v>157</v>
      </c>
      <c r="E257" s="162">
        <f>E256*0.17</f>
        <v>0.45900000000000007</v>
      </c>
      <c r="F257" s="133"/>
      <c r="G257" s="134"/>
      <c r="H257" s="135"/>
      <c r="I257" s="134"/>
      <c r="J257" s="134"/>
      <c r="K257" s="204">
        <f t="shared" si="144"/>
        <v>0</v>
      </c>
      <c r="L257" s="105">
        <f t="shared" si="139"/>
        <v>0</v>
      </c>
      <c r="M257" s="87">
        <f t="shared" si="140"/>
        <v>0</v>
      </c>
      <c r="N257" s="87">
        <f t="shared" si="141"/>
        <v>0</v>
      </c>
      <c r="O257" s="87">
        <f t="shared" si="142"/>
        <v>0</v>
      </c>
      <c r="P257" s="88">
        <f t="shared" si="143"/>
        <v>0</v>
      </c>
    </row>
    <row r="258" spans="1:19" ht="13.2" x14ac:dyDescent="0.2">
      <c r="A258" s="152">
        <v>6</v>
      </c>
      <c r="B258" s="157"/>
      <c r="C258" s="164" t="s">
        <v>277</v>
      </c>
      <c r="D258" s="157" t="s">
        <v>157</v>
      </c>
      <c r="E258" s="173">
        <f>E256*0.12*2*1.05</f>
        <v>0.6804</v>
      </c>
      <c r="F258" s="133"/>
      <c r="G258" s="134"/>
      <c r="H258" s="135"/>
      <c r="I258" s="134"/>
      <c r="J258" s="134"/>
      <c r="K258" s="204">
        <f t="shared" si="144"/>
        <v>0</v>
      </c>
      <c r="L258" s="105">
        <f t="shared" si="139"/>
        <v>0</v>
      </c>
      <c r="M258" s="87">
        <f t="shared" si="140"/>
        <v>0</v>
      </c>
      <c r="N258" s="87">
        <f t="shared" si="141"/>
        <v>0</v>
      </c>
      <c r="O258" s="87">
        <f t="shared" si="142"/>
        <v>0</v>
      </c>
      <c r="P258" s="88">
        <f t="shared" si="143"/>
        <v>0</v>
      </c>
    </row>
    <row r="259" spans="1:19" ht="13.8" thickBot="1" x14ac:dyDescent="0.25">
      <c r="A259" s="152">
        <v>7</v>
      </c>
      <c r="B259" s="157" t="s">
        <v>56</v>
      </c>
      <c r="C259" s="163" t="s">
        <v>196</v>
      </c>
      <c r="D259" s="157" t="s">
        <v>60</v>
      </c>
      <c r="E259" s="162">
        <v>1</v>
      </c>
      <c r="F259" s="133"/>
      <c r="G259" s="134"/>
      <c r="H259" s="135">
        <f t="shared" ref="H259" si="145">ROUND(F259*G259,2)</f>
        <v>0</v>
      </c>
      <c r="I259" s="134"/>
      <c r="J259" s="134"/>
      <c r="K259" s="134">
        <f t="shared" si="144"/>
        <v>0</v>
      </c>
      <c r="L259" s="105">
        <f t="shared" si="139"/>
        <v>0</v>
      </c>
      <c r="M259" s="87">
        <f t="shared" si="140"/>
        <v>0</v>
      </c>
      <c r="N259" s="87">
        <f t="shared" si="141"/>
        <v>0</v>
      </c>
      <c r="O259" s="87">
        <f t="shared" si="142"/>
        <v>0</v>
      </c>
      <c r="P259" s="88">
        <f t="shared" si="143"/>
        <v>0</v>
      </c>
    </row>
    <row r="260" spans="1:19" ht="10.8" thickBot="1" x14ac:dyDescent="0.25">
      <c r="A260" s="282"/>
      <c r="B260" s="283"/>
      <c r="C260" s="283"/>
      <c r="D260" s="283"/>
      <c r="E260" s="283"/>
      <c r="F260" s="283"/>
      <c r="G260" s="283"/>
      <c r="H260" s="283"/>
      <c r="I260" s="283"/>
      <c r="J260" s="283"/>
      <c r="K260" s="284"/>
      <c r="L260" s="52">
        <f>SUM(L14:L259)</f>
        <v>0</v>
      </c>
      <c r="M260" s="53">
        <f>SUM(M14:M259)</f>
        <v>0</v>
      </c>
      <c r="N260" s="53">
        <f>SUM(N14:N259)</f>
        <v>0</v>
      </c>
      <c r="O260" s="53">
        <f>SUM(O14:O259)</f>
        <v>0</v>
      </c>
      <c r="P260" s="54">
        <f>SUM(P14:P259)</f>
        <v>0</v>
      </c>
      <c r="S260" s="17"/>
    </row>
    <row r="261" spans="1:19" x14ac:dyDescent="0.2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</row>
    <row r="262" spans="1:19" x14ac:dyDescent="0.2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</row>
    <row r="263" spans="1:19" x14ac:dyDescent="0.2">
      <c r="A263" s="1" t="s">
        <v>18</v>
      </c>
      <c r="B263" s="14"/>
      <c r="C263" s="281">
        <f>'Kops a'!C35:H35</f>
        <v>0</v>
      </c>
      <c r="D263" s="281"/>
      <c r="E263" s="281"/>
      <c r="F263" s="281"/>
      <c r="G263" s="281"/>
      <c r="H263" s="281"/>
      <c r="I263" s="14"/>
      <c r="J263" s="14"/>
      <c r="K263" s="14"/>
      <c r="L263" s="14"/>
      <c r="M263" s="14"/>
      <c r="N263" s="14"/>
      <c r="O263" s="14"/>
      <c r="P263" s="14"/>
    </row>
    <row r="264" spans="1:19" x14ac:dyDescent="0.2">
      <c r="A264" s="14"/>
      <c r="B264" s="14"/>
      <c r="C264" s="216" t="s">
        <v>19</v>
      </c>
      <c r="D264" s="216"/>
      <c r="E264" s="216"/>
      <c r="F264" s="216"/>
      <c r="G264" s="216"/>
      <c r="H264" s="216"/>
      <c r="I264" s="14"/>
      <c r="J264" s="14"/>
      <c r="K264" s="14"/>
      <c r="L264" s="14"/>
      <c r="M264" s="14"/>
      <c r="N264" s="14"/>
      <c r="O264" s="14"/>
      <c r="P264" s="14"/>
    </row>
    <row r="265" spans="1:19" x14ac:dyDescent="0.2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</row>
    <row r="266" spans="1:19" x14ac:dyDescent="0.2">
      <c r="A266" s="70" t="str">
        <f>'Kops a'!A38</f>
        <v>Tāme sastādīta</v>
      </c>
      <c r="B266" s="71"/>
      <c r="C266" s="71"/>
      <c r="D266" s="71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</row>
    <row r="267" spans="1:19" x14ac:dyDescent="0.2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</row>
    <row r="268" spans="1:19" x14ac:dyDescent="0.2">
      <c r="A268" s="1" t="s">
        <v>38</v>
      </c>
      <c r="B268" s="14"/>
      <c r="C268" s="281">
        <f>'Kops a'!C40:H40</f>
        <v>0</v>
      </c>
      <c r="D268" s="281"/>
      <c r="E268" s="281"/>
      <c r="F268" s="281"/>
      <c r="G268" s="281"/>
      <c r="H268" s="281"/>
      <c r="I268" s="14"/>
      <c r="J268" s="14"/>
      <c r="K268" s="14"/>
      <c r="L268" s="14"/>
      <c r="M268" s="14"/>
      <c r="N268" s="14"/>
      <c r="O268" s="14"/>
      <c r="P268" s="14"/>
    </row>
    <row r="269" spans="1:19" x14ac:dyDescent="0.2">
      <c r="A269" s="14"/>
      <c r="B269" s="14"/>
      <c r="C269" s="216" t="s">
        <v>19</v>
      </c>
      <c r="D269" s="216"/>
      <c r="E269" s="216"/>
      <c r="F269" s="216"/>
      <c r="G269" s="216"/>
      <c r="H269" s="216"/>
      <c r="I269" s="14"/>
      <c r="J269" s="14"/>
      <c r="K269" s="14"/>
      <c r="L269" s="14"/>
      <c r="M269" s="14"/>
      <c r="N269" s="14"/>
      <c r="O269" s="14"/>
      <c r="P269" s="14"/>
    </row>
    <row r="270" spans="1:19" x14ac:dyDescent="0.2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</row>
    <row r="271" spans="1:19" x14ac:dyDescent="0.2">
      <c r="A271" s="70" t="s">
        <v>84</v>
      </c>
      <c r="B271" s="71"/>
      <c r="C271" s="75">
        <f>'Kops a'!C43</f>
        <v>0</v>
      </c>
      <c r="D271" s="39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</row>
    <row r="272" spans="1:19" x14ac:dyDescent="0.2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</row>
  </sheetData>
  <mergeCells count="22">
    <mergeCell ref="C269:H269"/>
    <mergeCell ref="C4:I4"/>
    <mergeCell ref="F12:K12"/>
    <mergeCell ref="A9:F9"/>
    <mergeCell ref="J9:M9"/>
    <mergeCell ref="D8:L8"/>
    <mergeCell ref="A260:K260"/>
    <mergeCell ref="C263:H263"/>
    <mergeCell ref="C264:H264"/>
    <mergeCell ref="C268:H268"/>
    <mergeCell ref="A12:A13"/>
    <mergeCell ref="B12:B13"/>
    <mergeCell ref="C12:C13"/>
    <mergeCell ref="D12:D13"/>
    <mergeCell ref="E12:E13"/>
    <mergeCell ref="L12:P12"/>
    <mergeCell ref="N9:O9"/>
    <mergeCell ref="C2:I2"/>
    <mergeCell ref="C3:I3"/>
    <mergeCell ref="D5:L5"/>
    <mergeCell ref="D6:L6"/>
    <mergeCell ref="D7:L7"/>
  </mergeCells>
  <conditionalFormatting sqref="I15:J146 A15:G146 A147:B147 I148:J152 A148:G152 I156:J156 A156:B156 D156:G156 I159:J162 B162:G162 B164:G165 B163:E163 I164:J165 I174:J174 A162:A165 A167:A170 A172:A173 A188:A190 A194:A196">
    <cfRule type="cellIs" dxfId="313" priority="174" operator="equal">
      <formula>0</formula>
    </cfRule>
  </conditionalFormatting>
  <conditionalFormatting sqref="N9:O9 H14:H146 K14:P15 K148:K152 H148:H152 K16:K146 L16:P152 H156 K156 H159:H162 H164:H165 K165 K159:K162 K174 H174 L156:P207">
    <cfRule type="cellIs" dxfId="312" priority="173" operator="equal">
      <formula>0</formula>
    </cfRule>
  </conditionalFormatting>
  <conditionalFormatting sqref="A9:F9">
    <cfRule type="containsText" dxfId="311" priority="17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310" priority="170" operator="equal">
      <formula>0</formula>
    </cfRule>
  </conditionalFormatting>
  <conditionalFormatting sqref="O10">
    <cfRule type="cellIs" dxfId="309" priority="169" operator="equal">
      <formula>"20__. gada __. _________"</formula>
    </cfRule>
  </conditionalFormatting>
  <conditionalFormatting sqref="A260:K260">
    <cfRule type="containsText" dxfId="308" priority="168" operator="containsText" text="Tiešās izmaksas kopā, t. sk. darba devēja sociālais nodoklis __.__% ">
      <formula>NOT(ISERROR(SEARCH("Tiešās izmaksas kopā, t. sk. darba devēja sociālais nodoklis __.__% ",A260)))</formula>
    </cfRule>
  </conditionalFormatting>
  <conditionalFormatting sqref="L260:P260">
    <cfRule type="cellIs" dxfId="307" priority="163" operator="equal">
      <formula>0</formula>
    </cfRule>
  </conditionalFormatting>
  <conditionalFormatting sqref="C4:I4">
    <cfRule type="cellIs" dxfId="306" priority="162" operator="equal">
      <formula>0</formula>
    </cfRule>
  </conditionalFormatting>
  <conditionalFormatting sqref="D5:L8">
    <cfRule type="cellIs" dxfId="305" priority="159" operator="equal">
      <formula>0</formula>
    </cfRule>
  </conditionalFormatting>
  <conditionalFormatting sqref="A14:B14 D14:G14">
    <cfRule type="cellIs" dxfId="304" priority="158" operator="equal">
      <formula>0</formula>
    </cfRule>
  </conditionalFormatting>
  <conditionalFormatting sqref="C14">
    <cfRule type="cellIs" dxfId="303" priority="157" operator="equal">
      <formula>0</formula>
    </cfRule>
  </conditionalFormatting>
  <conditionalFormatting sqref="I14:J14">
    <cfRule type="cellIs" dxfId="302" priority="156" operator="equal">
      <formula>0</formula>
    </cfRule>
  </conditionalFormatting>
  <conditionalFormatting sqref="P10">
    <cfRule type="cellIs" dxfId="301" priority="155" operator="equal">
      <formula>"20__. gada __. _________"</formula>
    </cfRule>
  </conditionalFormatting>
  <conditionalFormatting sqref="C268:H268">
    <cfRule type="cellIs" dxfId="300" priority="152" operator="equal">
      <formula>0</formula>
    </cfRule>
  </conditionalFormatting>
  <conditionalFormatting sqref="C263:H263">
    <cfRule type="cellIs" dxfId="299" priority="151" operator="equal">
      <formula>0</formula>
    </cfRule>
  </conditionalFormatting>
  <conditionalFormatting sqref="C268:H268 C271 C263:H263">
    <cfRule type="cellIs" dxfId="298" priority="150" operator="equal">
      <formula>0</formula>
    </cfRule>
  </conditionalFormatting>
  <conditionalFormatting sqref="D1">
    <cfRule type="cellIs" dxfId="297" priority="149" operator="equal">
      <formula>0</formula>
    </cfRule>
  </conditionalFormatting>
  <conditionalFormatting sqref="C147:G147 I147:J147">
    <cfRule type="cellIs" dxfId="296" priority="148" operator="equal">
      <formula>0</formula>
    </cfRule>
  </conditionalFormatting>
  <conditionalFormatting sqref="K147 H147">
    <cfRule type="cellIs" dxfId="295" priority="147" operator="equal">
      <formula>0</formula>
    </cfRule>
  </conditionalFormatting>
  <conditionalFormatting sqref="A153:G155 I153:J155">
    <cfRule type="cellIs" dxfId="294" priority="142" operator="equal">
      <formula>0</formula>
    </cfRule>
  </conditionalFormatting>
  <conditionalFormatting sqref="H153:H155 K153:P155">
    <cfRule type="cellIs" dxfId="293" priority="141" operator="equal">
      <formula>0</formula>
    </cfRule>
  </conditionalFormatting>
  <conditionalFormatting sqref="C156">
    <cfRule type="cellIs" dxfId="292" priority="140" operator="equal">
      <formula>0</formula>
    </cfRule>
  </conditionalFormatting>
  <conditionalFormatting sqref="H157 K157">
    <cfRule type="cellIs" dxfId="291" priority="139" operator="equal">
      <formula>0</formula>
    </cfRule>
  </conditionalFormatting>
  <conditionalFormatting sqref="D157:G157 A157:B157">
    <cfRule type="cellIs" dxfId="290" priority="138" operator="equal">
      <formula>0</formula>
    </cfRule>
  </conditionalFormatting>
  <conditionalFormatting sqref="C157">
    <cfRule type="cellIs" dxfId="289" priority="137" operator="equal">
      <formula>0</formula>
    </cfRule>
  </conditionalFormatting>
  <conditionalFormatting sqref="I157:J157">
    <cfRule type="cellIs" dxfId="288" priority="136" operator="equal">
      <formula>0</formula>
    </cfRule>
  </conditionalFormatting>
  <conditionalFormatting sqref="A159:G161 A174:B174 D174:G174 A175:A181 A166 A171">
    <cfRule type="cellIs" dxfId="287" priority="135" operator="equal">
      <formula>0</formula>
    </cfRule>
  </conditionalFormatting>
  <conditionalFormatting sqref="H158 K158">
    <cfRule type="cellIs" dxfId="286" priority="133" operator="equal">
      <formula>0</formula>
    </cfRule>
  </conditionalFormatting>
  <conditionalFormatting sqref="D158:G158 A158:B158">
    <cfRule type="cellIs" dxfId="285" priority="132" operator="equal">
      <formula>0</formula>
    </cfRule>
  </conditionalFormatting>
  <conditionalFormatting sqref="C158">
    <cfRule type="cellIs" dxfId="284" priority="131" operator="equal">
      <formula>0</formula>
    </cfRule>
  </conditionalFormatting>
  <conditionalFormatting sqref="I158:J158">
    <cfRule type="cellIs" dxfId="283" priority="130" operator="equal">
      <formula>0</formula>
    </cfRule>
  </conditionalFormatting>
  <conditionalFormatting sqref="F163:G163 I163:J163">
    <cfRule type="cellIs" dxfId="282" priority="121" operator="equal">
      <formula>0</formula>
    </cfRule>
  </conditionalFormatting>
  <conditionalFormatting sqref="F189:G189 I189:J189">
    <cfRule type="cellIs" dxfId="281" priority="88" operator="equal">
      <formula>0</formula>
    </cfRule>
  </conditionalFormatting>
  <conditionalFormatting sqref="H163 K163:K164">
    <cfRule type="cellIs" dxfId="280" priority="120" operator="equal">
      <formula>0</formula>
    </cfRule>
  </conditionalFormatting>
  <conditionalFormatting sqref="I166:J166 B166:G166 B167 I168:J169 B168:G169">
    <cfRule type="cellIs" dxfId="279" priority="119" operator="equal">
      <formula>0</formula>
    </cfRule>
  </conditionalFormatting>
  <conditionalFormatting sqref="H166 K168:K169 H168:H169 K166">
    <cfRule type="cellIs" dxfId="278" priority="118" operator="equal">
      <formula>0</formula>
    </cfRule>
  </conditionalFormatting>
  <conditionalFormatting sqref="C167:G167 I167:J167">
    <cfRule type="cellIs" dxfId="277" priority="117" operator="equal">
      <formula>0</formula>
    </cfRule>
  </conditionalFormatting>
  <conditionalFormatting sqref="K167 H167">
    <cfRule type="cellIs" dxfId="276" priority="116" operator="equal">
      <formula>0</formula>
    </cfRule>
  </conditionalFormatting>
  <conditionalFormatting sqref="I170:J172">
    <cfRule type="cellIs" dxfId="275" priority="115" operator="equal">
      <formula>0</formula>
    </cfRule>
  </conditionalFormatting>
  <conditionalFormatting sqref="K170:K172 H170:H172">
    <cfRule type="cellIs" dxfId="274" priority="114" operator="equal">
      <formula>0</formula>
    </cfRule>
  </conditionalFormatting>
  <conditionalFormatting sqref="B170:G172">
    <cfRule type="cellIs" dxfId="273" priority="113" operator="equal">
      <formula>0</formula>
    </cfRule>
  </conditionalFormatting>
  <conditionalFormatting sqref="C173">
    <cfRule type="cellIs" dxfId="272" priority="110" operator="equal">
      <formula>0</formula>
    </cfRule>
  </conditionalFormatting>
  <conditionalFormatting sqref="I173:J173 B173 D173:G173">
    <cfRule type="cellIs" dxfId="271" priority="111" operator="equal">
      <formula>0</formula>
    </cfRule>
  </conditionalFormatting>
  <conditionalFormatting sqref="H173 K173">
    <cfRule type="cellIs" dxfId="270" priority="112" operator="equal">
      <formula>0</formula>
    </cfRule>
  </conditionalFormatting>
  <conditionalFormatting sqref="C174">
    <cfRule type="cellIs" dxfId="269" priority="109" operator="equal">
      <formula>0</formula>
    </cfRule>
  </conditionalFormatting>
  <conditionalFormatting sqref="I175:J180 C175:C177 D175:G180 B175:B180">
    <cfRule type="cellIs" dxfId="268" priority="108" operator="equal">
      <formula>0</formula>
    </cfRule>
  </conditionalFormatting>
  <conditionalFormatting sqref="H175:H180 K175:K180">
    <cfRule type="cellIs" dxfId="267" priority="107" operator="equal">
      <formula>0</formula>
    </cfRule>
  </conditionalFormatting>
  <conditionalFormatting sqref="C179:C180">
    <cfRule type="cellIs" dxfId="266" priority="106" operator="equal">
      <formula>0</formula>
    </cfRule>
  </conditionalFormatting>
  <conditionalFormatting sqref="C178">
    <cfRule type="cellIs" dxfId="265" priority="105" operator="equal">
      <formula>0</formula>
    </cfRule>
  </conditionalFormatting>
  <conditionalFormatting sqref="C181">
    <cfRule type="cellIs" dxfId="264" priority="102" operator="equal">
      <formula>0</formula>
    </cfRule>
  </conditionalFormatting>
  <conditionalFormatting sqref="I181:J181 B181 D181:G181">
    <cfRule type="cellIs" dxfId="263" priority="103" operator="equal">
      <formula>0</formula>
    </cfRule>
  </conditionalFormatting>
  <conditionalFormatting sqref="H181 K181">
    <cfRule type="cellIs" dxfId="262" priority="104" operator="equal">
      <formula>0</formula>
    </cfRule>
  </conditionalFormatting>
  <conditionalFormatting sqref="I182:J182 A182:B182 D182:G182 I185:J188 B188:G188 B190:G191 B189:E189 I190:J191 I200:J200">
    <cfRule type="cellIs" dxfId="261" priority="101" operator="equal">
      <formula>0</formula>
    </cfRule>
  </conditionalFormatting>
  <conditionalFormatting sqref="H182 K182 H185:H188 H190:H191 K191 K185:K188 K200 H200">
    <cfRule type="cellIs" dxfId="260" priority="100" operator="equal">
      <formula>0</formula>
    </cfRule>
  </conditionalFormatting>
  <conditionalFormatting sqref="C182">
    <cfRule type="cellIs" dxfId="259" priority="98" operator="equal">
      <formula>0</formula>
    </cfRule>
  </conditionalFormatting>
  <conditionalFormatting sqref="H183 K183">
    <cfRule type="cellIs" dxfId="258" priority="97" operator="equal">
      <formula>0</formula>
    </cfRule>
  </conditionalFormatting>
  <conditionalFormatting sqref="D183:G183 A183:B183">
    <cfRule type="cellIs" dxfId="257" priority="96" operator="equal">
      <formula>0</formula>
    </cfRule>
  </conditionalFormatting>
  <conditionalFormatting sqref="C183">
    <cfRule type="cellIs" dxfId="256" priority="95" operator="equal">
      <formula>0</formula>
    </cfRule>
  </conditionalFormatting>
  <conditionalFormatting sqref="I183:J183">
    <cfRule type="cellIs" dxfId="255" priority="94" operator="equal">
      <formula>0</formula>
    </cfRule>
  </conditionalFormatting>
  <conditionalFormatting sqref="A185:G187 A200:B200 D200:G200 A201:A207 A191:A193 A197:A199">
    <cfRule type="cellIs" dxfId="254" priority="93" operator="equal">
      <formula>0</formula>
    </cfRule>
  </conditionalFormatting>
  <conditionalFormatting sqref="H184 K184">
    <cfRule type="cellIs" dxfId="253" priority="92" operator="equal">
      <formula>0</formula>
    </cfRule>
  </conditionalFormatting>
  <conditionalFormatting sqref="D184:G184 A184:B184">
    <cfRule type="cellIs" dxfId="252" priority="91" operator="equal">
      <formula>0</formula>
    </cfRule>
  </conditionalFormatting>
  <conditionalFormatting sqref="C184">
    <cfRule type="cellIs" dxfId="251" priority="90" operator="equal">
      <formula>0</formula>
    </cfRule>
  </conditionalFormatting>
  <conditionalFormatting sqref="I184:J184">
    <cfRule type="cellIs" dxfId="250" priority="89" operator="equal">
      <formula>0</formula>
    </cfRule>
  </conditionalFormatting>
  <conditionalFormatting sqref="H189 K189:K190">
    <cfRule type="cellIs" dxfId="249" priority="87" operator="equal">
      <formula>0</formula>
    </cfRule>
  </conditionalFormatting>
  <conditionalFormatting sqref="I192:J192 B192:G192 B193 I194:J195 B194:G195">
    <cfRule type="cellIs" dxfId="248" priority="86" operator="equal">
      <formula>0</formula>
    </cfRule>
  </conditionalFormatting>
  <conditionalFormatting sqref="H192 K194:K195 H194:H195 K192">
    <cfRule type="cellIs" dxfId="247" priority="85" operator="equal">
      <formula>0</formula>
    </cfRule>
  </conditionalFormatting>
  <conditionalFormatting sqref="C193:G193 I193:J193">
    <cfRule type="cellIs" dxfId="246" priority="84" operator="equal">
      <formula>0</formula>
    </cfRule>
  </conditionalFormatting>
  <conditionalFormatting sqref="K193 H193">
    <cfRule type="cellIs" dxfId="245" priority="83" operator="equal">
      <formula>0</formula>
    </cfRule>
  </conditionalFormatting>
  <conditionalFormatting sqref="I196:J198">
    <cfRule type="cellIs" dxfId="244" priority="82" operator="equal">
      <formula>0</formula>
    </cfRule>
  </conditionalFormatting>
  <conditionalFormatting sqref="K196:K198 H196:H198">
    <cfRule type="cellIs" dxfId="243" priority="81" operator="equal">
      <formula>0</formula>
    </cfRule>
  </conditionalFormatting>
  <conditionalFormatting sqref="B196:G198">
    <cfRule type="cellIs" dxfId="242" priority="80" operator="equal">
      <formula>0</formula>
    </cfRule>
  </conditionalFormatting>
  <conditionalFormatting sqref="C199">
    <cfRule type="cellIs" dxfId="241" priority="77" operator="equal">
      <formula>0</formula>
    </cfRule>
  </conditionalFormatting>
  <conditionalFormatting sqref="I199:J199 B199 D199:G199">
    <cfRule type="cellIs" dxfId="240" priority="78" operator="equal">
      <formula>0</formula>
    </cfRule>
  </conditionalFormatting>
  <conditionalFormatting sqref="H199 K199">
    <cfRule type="cellIs" dxfId="239" priority="79" operator="equal">
      <formula>0</formula>
    </cfRule>
  </conditionalFormatting>
  <conditionalFormatting sqref="C200">
    <cfRule type="cellIs" dxfId="238" priority="76" operator="equal">
      <formula>0</formula>
    </cfRule>
  </conditionalFormatting>
  <conditionalFormatting sqref="I201:J206 C201:C203 D201:G206 B201:B206">
    <cfRule type="cellIs" dxfId="237" priority="75" operator="equal">
      <formula>0</formula>
    </cfRule>
  </conditionalFormatting>
  <conditionalFormatting sqref="H201:H206 K201:K206">
    <cfRule type="cellIs" dxfId="236" priority="74" operator="equal">
      <formula>0</formula>
    </cfRule>
  </conditionalFormatting>
  <conditionalFormatting sqref="C205:C206">
    <cfRule type="cellIs" dxfId="235" priority="73" operator="equal">
      <formula>0</formula>
    </cfRule>
  </conditionalFormatting>
  <conditionalFormatting sqref="C204">
    <cfRule type="cellIs" dxfId="234" priority="72" operator="equal">
      <formula>0</formula>
    </cfRule>
  </conditionalFormatting>
  <conditionalFormatting sqref="C207">
    <cfRule type="cellIs" dxfId="233" priority="69" operator="equal">
      <formula>0</formula>
    </cfRule>
  </conditionalFormatting>
  <conditionalFormatting sqref="I207:J207 B207 D207:G207">
    <cfRule type="cellIs" dxfId="232" priority="70" operator="equal">
      <formula>0</formula>
    </cfRule>
  </conditionalFormatting>
  <conditionalFormatting sqref="H207 K207">
    <cfRule type="cellIs" dxfId="231" priority="71" operator="equal">
      <formula>0</formula>
    </cfRule>
  </conditionalFormatting>
  <conditionalFormatting sqref="A214:A216 A220:A222">
    <cfRule type="cellIs" dxfId="230" priority="68" operator="equal">
      <formula>0</formula>
    </cfRule>
  </conditionalFormatting>
  <conditionalFormatting sqref="L208:P233">
    <cfRule type="cellIs" dxfId="229" priority="67" operator="equal">
      <formula>0</formula>
    </cfRule>
  </conditionalFormatting>
  <conditionalFormatting sqref="F215:G215 I215:J215">
    <cfRule type="cellIs" dxfId="228" priority="54" operator="equal">
      <formula>0</formula>
    </cfRule>
  </conditionalFormatting>
  <conditionalFormatting sqref="I208:J208 A208:B208 D208:G208 I211:J214 B214:G214 B216:G217 B215:E215 I216:J217 I226:J226">
    <cfRule type="cellIs" dxfId="227" priority="66" operator="equal">
      <formula>0</formula>
    </cfRule>
  </conditionalFormatting>
  <conditionalFormatting sqref="H208 K208 H211:H214 H216:H217 K217 K211:K214 K226 H226">
    <cfRule type="cellIs" dxfId="226" priority="65" operator="equal">
      <formula>0</formula>
    </cfRule>
  </conditionalFormatting>
  <conditionalFormatting sqref="C208">
    <cfRule type="cellIs" dxfId="225" priority="64" operator="equal">
      <formula>0</formula>
    </cfRule>
  </conditionalFormatting>
  <conditionalFormatting sqref="H209 K209">
    <cfRule type="cellIs" dxfId="224" priority="63" operator="equal">
      <formula>0</formula>
    </cfRule>
  </conditionalFormatting>
  <conditionalFormatting sqref="D209:G209 A209:B209">
    <cfRule type="cellIs" dxfId="223" priority="62" operator="equal">
      <formula>0</formula>
    </cfRule>
  </conditionalFormatting>
  <conditionalFormatting sqref="C209">
    <cfRule type="cellIs" dxfId="222" priority="61" operator="equal">
      <formula>0</formula>
    </cfRule>
  </conditionalFormatting>
  <conditionalFormatting sqref="I209:J209">
    <cfRule type="cellIs" dxfId="221" priority="60" operator="equal">
      <formula>0</formula>
    </cfRule>
  </conditionalFormatting>
  <conditionalFormatting sqref="A211:G213 A226:B226 D226:G226 A227:A233 A217:A219 A223:A225">
    <cfRule type="cellIs" dxfId="220" priority="59" operator="equal">
      <formula>0</formula>
    </cfRule>
  </conditionalFormatting>
  <conditionalFormatting sqref="H210 K210">
    <cfRule type="cellIs" dxfId="219" priority="58" operator="equal">
      <formula>0</formula>
    </cfRule>
  </conditionalFormatting>
  <conditionalFormatting sqref="D210:G210 A210:B210">
    <cfRule type="cellIs" dxfId="218" priority="57" operator="equal">
      <formula>0</formula>
    </cfRule>
  </conditionalFormatting>
  <conditionalFormatting sqref="C210">
    <cfRule type="cellIs" dxfId="217" priority="56" operator="equal">
      <formula>0</formula>
    </cfRule>
  </conditionalFormatting>
  <conditionalFormatting sqref="I210:J210">
    <cfRule type="cellIs" dxfId="216" priority="55" operator="equal">
      <formula>0</formula>
    </cfRule>
  </conditionalFormatting>
  <conditionalFormatting sqref="H215 K215:K216">
    <cfRule type="cellIs" dxfId="215" priority="53" operator="equal">
      <formula>0</formula>
    </cfRule>
  </conditionalFormatting>
  <conditionalFormatting sqref="I218:J218 B218:G218 B219 I220:J221 B220:G221">
    <cfRule type="cellIs" dxfId="214" priority="52" operator="equal">
      <formula>0</formula>
    </cfRule>
  </conditionalFormatting>
  <conditionalFormatting sqref="H218 K220:K221 H220:H221 K218">
    <cfRule type="cellIs" dxfId="213" priority="51" operator="equal">
      <formula>0</formula>
    </cfRule>
  </conditionalFormatting>
  <conditionalFormatting sqref="C219:G219 I219:J219">
    <cfRule type="cellIs" dxfId="212" priority="50" operator="equal">
      <formula>0</formula>
    </cfRule>
  </conditionalFormatting>
  <conditionalFormatting sqref="K219 H219">
    <cfRule type="cellIs" dxfId="211" priority="49" operator="equal">
      <formula>0</formula>
    </cfRule>
  </conditionalFormatting>
  <conditionalFormatting sqref="I222:J224">
    <cfRule type="cellIs" dxfId="210" priority="48" operator="equal">
      <formula>0</formula>
    </cfRule>
  </conditionalFormatting>
  <conditionalFormatting sqref="K222:K224 H222:H224">
    <cfRule type="cellIs" dxfId="209" priority="47" operator="equal">
      <formula>0</formula>
    </cfRule>
  </conditionalFormatting>
  <conditionalFormatting sqref="B222:G224">
    <cfRule type="cellIs" dxfId="208" priority="46" operator="equal">
      <formula>0</formula>
    </cfRule>
  </conditionalFormatting>
  <conditionalFormatting sqref="C225">
    <cfRule type="cellIs" dxfId="207" priority="43" operator="equal">
      <formula>0</formula>
    </cfRule>
  </conditionalFormatting>
  <conditionalFormatting sqref="I225:J225 B225 D225:G225">
    <cfRule type="cellIs" dxfId="206" priority="44" operator="equal">
      <formula>0</formula>
    </cfRule>
  </conditionalFormatting>
  <conditionalFormatting sqref="H225 K225">
    <cfRule type="cellIs" dxfId="205" priority="45" operator="equal">
      <formula>0</formula>
    </cfRule>
  </conditionalFormatting>
  <conditionalFormatting sqref="C226">
    <cfRule type="cellIs" dxfId="204" priority="42" operator="equal">
      <formula>0</formula>
    </cfRule>
  </conditionalFormatting>
  <conditionalFormatting sqref="I227:J232 C227:C229 D227:G232 B227:B232">
    <cfRule type="cellIs" dxfId="203" priority="41" operator="equal">
      <formula>0</formula>
    </cfRule>
  </conditionalFormatting>
  <conditionalFormatting sqref="H227:H232 K227:K232">
    <cfRule type="cellIs" dxfId="202" priority="40" operator="equal">
      <formula>0</formula>
    </cfRule>
  </conditionalFormatting>
  <conditionalFormatting sqref="C231:C232">
    <cfRule type="cellIs" dxfId="201" priority="39" operator="equal">
      <formula>0</formula>
    </cfRule>
  </conditionalFormatting>
  <conditionalFormatting sqref="C230">
    <cfRule type="cellIs" dxfId="200" priority="38" operator="equal">
      <formula>0</formula>
    </cfRule>
  </conditionalFormatting>
  <conditionalFormatting sqref="C233">
    <cfRule type="cellIs" dxfId="199" priority="35" operator="equal">
      <formula>0</formula>
    </cfRule>
  </conditionalFormatting>
  <conditionalFormatting sqref="I233:J233 B233 D233:G233">
    <cfRule type="cellIs" dxfId="198" priority="36" operator="equal">
      <formula>0</formula>
    </cfRule>
  </conditionalFormatting>
  <conditionalFormatting sqref="H233 K233">
    <cfRule type="cellIs" dxfId="197" priority="37" operator="equal">
      <formula>0</formula>
    </cfRule>
  </conditionalFormatting>
  <conditionalFormatting sqref="A240:A242 A246:A248">
    <cfRule type="cellIs" dxfId="196" priority="34" operator="equal">
      <formula>0</formula>
    </cfRule>
  </conditionalFormatting>
  <conditionalFormatting sqref="L234:P259">
    <cfRule type="cellIs" dxfId="195" priority="33" operator="equal">
      <formula>0</formula>
    </cfRule>
  </conditionalFormatting>
  <conditionalFormatting sqref="F241:G241 I241:J241">
    <cfRule type="cellIs" dxfId="194" priority="20" operator="equal">
      <formula>0</formula>
    </cfRule>
  </conditionalFormatting>
  <conditionalFormatting sqref="I234:J234 A234:B234 D234:G234 I237:J240 B240:G240 B242:G243 B241:E241 I242:J243 I252:J252">
    <cfRule type="cellIs" dxfId="193" priority="32" operator="equal">
      <formula>0</formula>
    </cfRule>
  </conditionalFormatting>
  <conditionalFormatting sqref="H234 K234 H237:H240 H242:H243 K243 K237:K240 K252 H252">
    <cfRule type="cellIs" dxfId="192" priority="31" operator="equal">
      <formula>0</formula>
    </cfRule>
  </conditionalFormatting>
  <conditionalFormatting sqref="C234">
    <cfRule type="cellIs" dxfId="191" priority="30" operator="equal">
      <formula>0</formula>
    </cfRule>
  </conditionalFormatting>
  <conditionalFormatting sqref="H235 K235">
    <cfRule type="cellIs" dxfId="190" priority="29" operator="equal">
      <formula>0</formula>
    </cfRule>
  </conditionalFormatting>
  <conditionalFormatting sqref="D235:G235 A235:B235">
    <cfRule type="cellIs" dxfId="189" priority="28" operator="equal">
      <formula>0</formula>
    </cfRule>
  </conditionalFormatting>
  <conditionalFormatting sqref="C235">
    <cfRule type="cellIs" dxfId="188" priority="27" operator="equal">
      <formula>0</formula>
    </cfRule>
  </conditionalFormatting>
  <conditionalFormatting sqref="I235:J235">
    <cfRule type="cellIs" dxfId="187" priority="26" operator="equal">
      <formula>0</formula>
    </cfRule>
  </conditionalFormatting>
  <conditionalFormatting sqref="A237:G239 A252:B252 D252:G252 A253:A259 A243:A245 A249:A251">
    <cfRule type="cellIs" dxfId="186" priority="25" operator="equal">
      <formula>0</formula>
    </cfRule>
  </conditionalFormatting>
  <conditionalFormatting sqref="H236 K236">
    <cfRule type="cellIs" dxfId="185" priority="24" operator="equal">
      <formula>0</formula>
    </cfRule>
  </conditionalFormatting>
  <conditionalFormatting sqref="D236:G236 A236:B236">
    <cfRule type="cellIs" dxfId="184" priority="23" operator="equal">
      <formula>0</formula>
    </cfRule>
  </conditionalFormatting>
  <conditionalFormatting sqref="C236">
    <cfRule type="cellIs" dxfId="183" priority="22" operator="equal">
      <formula>0</formula>
    </cfRule>
  </conditionalFormatting>
  <conditionalFormatting sqref="I236:J236">
    <cfRule type="cellIs" dxfId="182" priority="21" operator="equal">
      <formula>0</formula>
    </cfRule>
  </conditionalFormatting>
  <conditionalFormatting sqref="H241 K241:K242">
    <cfRule type="cellIs" dxfId="181" priority="19" operator="equal">
      <formula>0</formula>
    </cfRule>
  </conditionalFormatting>
  <conditionalFormatting sqref="I244:J244 B244:G244 B245 I246:J247 B246:G247">
    <cfRule type="cellIs" dxfId="180" priority="18" operator="equal">
      <formula>0</formula>
    </cfRule>
  </conditionalFormatting>
  <conditionalFormatting sqref="H244 K246:K247 H246:H247 K244">
    <cfRule type="cellIs" dxfId="179" priority="17" operator="equal">
      <formula>0</formula>
    </cfRule>
  </conditionalFormatting>
  <conditionalFormatting sqref="C245:G245 I245:J245">
    <cfRule type="cellIs" dxfId="178" priority="16" operator="equal">
      <formula>0</formula>
    </cfRule>
  </conditionalFormatting>
  <conditionalFormatting sqref="K245 H245">
    <cfRule type="cellIs" dxfId="177" priority="15" operator="equal">
      <formula>0</formula>
    </cfRule>
  </conditionalFormatting>
  <conditionalFormatting sqref="I248:J250">
    <cfRule type="cellIs" dxfId="176" priority="14" operator="equal">
      <formula>0</formula>
    </cfRule>
  </conditionalFormatting>
  <conditionalFormatting sqref="K248:K250 H248:H250">
    <cfRule type="cellIs" dxfId="175" priority="13" operator="equal">
      <formula>0</formula>
    </cfRule>
  </conditionalFormatting>
  <conditionalFormatting sqref="B248:G250">
    <cfRule type="cellIs" dxfId="174" priority="12" operator="equal">
      <formula>0</formula>
    </cfRule>
  </conditionalFormatting>
  <conditionalFormatting sqref="C251">
    <cfRule type="cellIs" dxfId="173" priority="9" operator="equal">
      <formula>0</formula>
    </cfRule>
  </conditionalFormatting>
  <conditionalFormatting sqref="I251:J251 B251 D251:G251">
    <cfRule type="cellIs" dxfId="172" priority="10" operator="equal">
      <formula>0</formula>
    </cfRule>
  </conditionalFormatting>
  <conditionalFormatting sqref="H251 K251">
    <cfRule type="cellIs" dxfId="171" priority="11" operator="equal">
      <formula>0</formula>
    </cfRule>
  </conditionalFormatting>
  <conditionalFormatting sqref="C252">
    <cfRule type="cellIs" dxfId="170" priority="8" operator="equal">
      <formula>0</formula>
    </cfRule>
  </conditionalFormatting>
  <conditionalFormatting sqref="I253:J258 C253:C255 D253:G258 B253:B258">
    <cfRule type="cellIs" dxfId="169" priority="7" operator="equal">
      <formula>0</formula>
    </cfRule>
  </conditionalFormatting>
  <conditionalFormatting sqref="H253:H258 K253:K258">
    <cfRule type="cellIs" dxfId="168" priority="6" operator="equal">
      <formula>0</formula>
    </cfRule>
  </conditionalFormatting>
  <conditionalFormatting sqref="C257:C258">
    <cfRule type="cellIs" dxfId="167" priority="5" operator="equal">
      <formula>0</formula>
    </cfRule>
  </conditionalFormatting>
  <conditionalFormatting sqref="C256">
    <cfRule type="cellIs" dxfId="166" priority="4" operator="equal">
      <formula>0</formula>
    </cfRule>
  </conditionalFormatting>
  <conditionalFormatting sqref="C259">
    <cfRule type="cellIs" dxfId="165" priority="1" operator="equal">
      <formula>0</formula>
    </cfRule>
  </conditionalFormatting>
  <conditionalFormatting sqref="I259:J259 B259 D259:G259">
    <cfRule type="cellIs" dxfId="164" priority="2" operator="equal">
      <formula>0</formula>
    </cfRule>
  </conditionalFormatting>
  <conditionalFormatting sqref="H259 K259">
    <cfRule type="cellIs" dxfId="163" priority="3" operator="equal">
      <formula>0</formula>
    </cfRule>
  </conditionalFormatting>
  <pageMargins left="0.7" right="0.7" top="0.75" bottom="0.75" header="0.3" footer="0.3"/>
  <pageSetup paperSize="9" scale="77" orientation="landscape" r:id="rId1"/>
  <rowBreaks count="1" manualBreakCount="1">
    <brk id="224" max="15" man="1"/>
  </rowBreaks>
  <colBreaks count="1" manualBreakCount="1">
    <brk id="16" max="104857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4" operator="containsText" id="{DC7EA987-A541-4A14-8BBA-80430C8D8797}">
            <xm:f>NOT(ISERROR(SEARCH("Tāme sastādīta ____. gada ___. ______________",A266)))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A266</xm:sqref>
        </x14:conditionalFormatting>
        <x14:conditionalFormatting xmlns:xm="http://schemas.microsoft.com/office/excel/2006/main">
          <x14:cfRule type="containsText" priority="153" operator="containsText" id="{ACDA78AF-73B6-4D16-9157-A1B6B42F0CA3}">
            <xm:f>NOT(ISERROR(SEARCH("Sertifikāta Nr. _________________________________",A271)))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A271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P118"/>
  <sheetViews>
    <sheetView zoomScaleNormal="100" zoomScaleSheetLayoutView="100" workbookViewId="0">
      <selection activeCell="D5" sqref="D5:L5"/>
    </sheetView>
  </sheetViews>
  <sheetFormatPr defaultColWidth="9.109375" defaultRowHeight="10.199999999999999" x14ac:dyDescent="0.2"/>
  <cols>
    <col min="1" max="1" width="4.5546875" style="1" customWidth="1"/>
    <col min="2" max="2" width="9.44140625" style="1" bestFit="1" customWidth="1"/>
    <col min="3" max="3" width="38.44140625" style="1" customWidth="1"/>
    <col min="4" max="4" width="5.88671875" style="1" customWidth="1"/>
    <col min="5" max="5" width="8.6640625" style="1" customWidth="1"/>
    <col min="6" max="6" width="4.44140625" style="1" bestFit="1" customWidth="1"/>
    <col min="7" max="8" width="5.44140625" style="1" bestFit="1" customWidth="1"/>
    <col min="9" max="10" width="4.44140625" style="1" bestFit="1" customWidth="1"/>
    <col min="11" max="11" width="5.44140625" style="1" bestFit="1" customWidth="1"/>
    <col min="12" max="12" width="6.5546875" style="1" bestFit="1" customWidth="1"/>
    <col min="13" max="14" width="7.6640625" style="1" customWidth="1"/>
    <col min="15" max="15" width="6.33203125" style="1" bestFit="1" customWidth="1"/>
    <col min="16" max="16" width="9" style="1" customWidth="1"/>
    <col min="17" max="16384" width="9.109375" style="1"/>
  </cols>
  <sheetData>
    <row r="1" spans="1:16" x14ac:dyDescent="0.2">
      <c r="A1" s="19"/>
      <c r="B1" s="19"/>
      <c r="C1" s="23" t="s">
        <v>39</v>
      </c>
      <c r="D1" s="40">
        <f>'Kops a'!A20</f>
        <v>0</v>
      </c>
      <c r="E1" s="19"/>
      <c r="F1" s="19"/>
      <c r="G1" s="19"/>
      <c r="H1" s="19"/>
      <c r="I1" s="19"/>
      <c r="J1" s="19"/>
      <c r="N1" s="22"/>
      <c r="O1" s="23"/>
      <c r="P1" s="24"/>
    </row>
    <row r="2" spans="1:16" x14ac:dyDescent="0.2">
      <c r="A2" s="25"/>
      <c r="B2" s="25"/>
      <c r="C2" s="264" t="s">
        <v>281</v>
      </c>
      <c r="D2" s="264"/>
      <c r="E2" s="264"/>
      <c r="F2" s="264"/>
      <c r="G2" s="264"/>
      <c r="H2" s="264"/>
      <c r="I2" s="264"/>
      <c r="J2" s="25"/>
    </row>
    <row r="3" spans="1:16" x14ac:dyDescent="0.2">
      <c r="A3" s="26"/>
      <c r="B3" s="26"/>
      <c r="C3" s="225" t="s">
        <v>23</v>
      </c>
      <c r="D3" s="225"/>
      <c r="E3" s="225"/>
      <c r="F3" s="225"/>
      <c r="G3" s="225"/>
      <c r="H3" s="225"/>
      <c r="I3" s="225"/>
      <c r="J3" s="26"/>
    </row>
    <row r="4" spans="1:16" x14ac:dyDescent="0.2">
      <c r="A4" s="26"/>
      <c r="B4" s="26"/>
      <c r="C4" s="265" t="s">
        <v>5</v>
      </c>
      <c r="D4" s="265"/>
      <c r="E4" s="265"/>
      <c r="F4" s="265"/>
      <c r="G4" s="265"/>
      <c r="H4" s="265"/>
      <c r="I4" s="265"/>
      <c r="J4" s="26"/>
    </row>
    <row r="5" spans="1:16" x14ac:dyDescent="0.2">
      <c r="A5" s="19"/>
      <c r="B5" s="19"/>
      <c r="C5" s="23" t="s">
        <v>6</v>
      </c>
      <c r="D5" s="278" t="str">
        <f>'Kops a'!D6</f>
        <v>DAUDZDZĪVOKĻU DZĪVOJAMĀ ĒKA</v>
      </c>
      <c r="E5" s="278"/>
      <c r="F5" s="278"/>
      <c r="G5" s="278"/>
      <c r="H5" s="278"/>
      <c r="I5" s="278"/>
      <c r="J5" s="278"/>
      <c r="K5" s="278"/>
      <c r="L5" s="278"/>
      <c r="M5" s="14"/>
      <c r="N5" s="14"/>
      <c r="O5" s="14"/>
      <c r="P5" s="14"/>
    </row>
    <row r="6" spans="1:16" x14ac:dyDescent="0.2">
      <c r="A6" s="19"/>
      <c r="B6" s="19"/>
      <c r="C6" s="23" t="s">
        <v>8</v>
      </c>
      <c r="D6" s="278" t="str">
        <f>'Kops a'!D7</f>
        <v>ENERGOEFEKTIVITĀTES PAAUGSTINĀŠANA DAUDZDZĪVOKĻU DZĪVOJAMAI ĒKAI</v>
      </c>
      <c r="E6" s="278"/>
      <c r="F6" s="278"/>
      <c r="G6" s="278"/>
      <c r="H6" s="278"/>
      <c r="I6" s="278"/>
      <c r="J6" s="278"/>
      <c r="K6" s="278"/>
      <c r="L6" s="278"/>
      <c r="M6" s="14"/>
      <c r="N6" s="14"/>
      <c r="O6" s="14"/>
      <c r="P6" s="14"/>
    </row>
    <row r="7" spans="1:16" x14ac:dyDescent="0.2">
      <c r="A7" s="19"/>
      <c r="B7" s="19"/>
      <c r="C7" s="23" t="s">
        <v>10</v>
      </c>
      <c r="D7" s="278" t="str">
        <f>'Kops a'!D8</f>
        <v>Mātera iela 23/25, Jelgava, ēkas kad. apz. 0900 001 0126 001</v>
      </c>
      <c r="E7" s="278"/>
      <c r="F7" s="278"/>
      <c r="G7" s="278"/>
      <c r="H7" s="278"/>
      <c r="I7" s="278"/>
      <c r="J7" s="278"/>
      <c r="K7" s="278"/>
      <c r="L7" s="278"/>
      <c r="M7" s="14"/>
      <c r="N7" s="14"/>
      <c r="O7" s="14"/>
      <c r="P7" s="14"/>
    </row>
    <row r="8" spans="1:16" x14ac:dyDescent="0.2">
      <c r="A8" s="19"/>
      <c r="B8" s="19"/>
      <c r="C8" s="210" t="s">
        <v>26</v>
      </c>
      <c r="D8" s="278">
        <f>'Kops a'!D9</f>
        <v>0</v>
      </c>
      <c r="E8" s="278"/>
      <c r="F8" s="278"/>
      <c r="G8" s="278"/>
      <c r="H8" s="278"/>
      <c r="I8" s="278"/>
      <c r="J8" s="278"/>
      <c r="K8" s="278"/>
      <c r="L8" s="278"/>
      <c r="M8" s="14"/>
      <c r="N8" s="14"/>
      <c r="O8" s="14"/>
      <c r="P8" s="14"/>
    </row>
    <row r="9" spans="1:16" ht="11.25" customHeight="1" x14ac:dyDescent="0.2">
      <c r="A9" s="266" t="s">
        <v>86</v>
      </c>
      <c r="B9" s="266"/>
      <c r="C9" s="266"/>
      <c r="D9" s="266"/>
      <c r="E9" s="266"/>
      <c r="F9" s="266"/>
      <c r="G9" s="27"/>
      <c r="H9" s="27"/>
      <c r="I9" s="27"/>
      <c r="J9" s="270" t="s">
        <v>42</v>
      </c>
      <c r="K9" s="270"/>
      <c r="L9" s="270"/>
      <c r="M9" s="270"/>
      <c r="N9" s="277">
        <f>P106</f>
        <v>0</v>
      </c>
      <c r="O9" s="277"/>
      <c r="P9" s="27"/>
    </row>
    <row r="10" spans="1:16" x14ac:dyDescent="0.2">
      <c r="A10" s="28"/>
      <c r="B10" s="29"/>
      <c r="C10" s="210"/>
      <c r="D10" s="19"/>
      <c r="E10" s="19"/>
      <c r="F10" s="19"/>
      <c r="G10" s="19"/>
      <c r="H10" s="19"/>
      <c r="I10" s="19"/>
      <c r="J10" s="19"/>
      <c r="K10" s="19"/>
      <c r="L10" s="25"/>
      <c r="M10" s="25"/>
      <c r="O10" s="73"/>
      <c r="P10" s="72" t="str">
        <f>A112</f>
        <v>Tāme sastādīta</v>
      </c>
    </row>
    <row r="11" spans="1:16" ht="10.8" thickBot="1" x14ac:dyDescent="0.25">
      <c r="A11" s="28"/>
      <c r="B11" s="29"/>
      <c r="C11" s="210"/>
      <c r="D11" s="19"/>
      <c r="E11" s="19"/>
      <c r="F11" s="19"/>
      <c r="G11" s="19"/>
      <c r="H11" s="19"/>
      <c r="I11" s="19"/>
      <c r="J11" s="19"/>
      <c r="K11" s="19"/>
      <c r="L11" s="30"/>
      <c r="M11" s="30"/>
      <c r="N11" s="31"/>
      <c r="O11" s="22"/>
      <c r="P11" s="19"/>
    </row>
    <row r="12" spans="1:16" x14ac:dyDescent="0.2">
      <c r="A12" s="236" t="s">
        <v>29</v>
      </c>
      <c r="B12" s="272" t="s">
        <v>43</v>
      </c>
      <c r="C12" s="268" t="s">
        <v>44</v>
      </c>
      <c r="D12" s="275" t="s">
        <v>45</v>
      </c>
      <c r="E12" s="279" t="s">
        <v>46</v>
      </c>
      <c r="F12" s="267" t="s">
        <v>47</v>
      </c>
      <c r="G12" s="268"/>
      <c r="H12" s="268"/>
      <c r="I12" s="268"/>
      <c r="J12" s="268"/>
      <c r="K12" s="269"/>
      <c r="L12" s="267" t="s">
        <v>48</v>
      </c>
      <c r="M12" s="268"/>
      <c r="N12" s="268"/>
      <c r="O12" s="268"/>
      <c r="P12" s="269"/>
    </row>
    <row r="13" spans="1:16" ht="126.75" customHeight="1" thickBot="1" x14ac:dyDescent="0.25">
      <c r="A13" s="271"/>
      <c r="B13" s="273"/>
      <c r="C13" s="274"/>
      <c r="D13" s="276"/>
      <c r="E13" s="280"/>
      <c r="F13" s="214" t="s">
        <v>49</v>
      </c>
      <c r="G13" s="215" t="s">
        <v>50</v>
      </c>
      <c r="H13" s="215" t="s">
        <v>51</v>
      </c>
      <c r="I13" s="215" t="s">
        <v>52</v>
      </c>
      <c r="J13" s="215" t="s">
        <v>53</v>
      </c>
      <c r="K13" s="51" t="s">
        <v>54</v>
      </c>
      <c r="L13" s="214" t="s">
        <v>49</v>
      </c>
      <c r="M13" s="215" t="s">
        <v>51</v>
      </c>
      <c r="N13" s="215" t="s">
        <v>52</v>
      </c>
      <c r="O13" s="215" t="s">
        <v>53</v>
      </c>
      <c r="P13" s="51" t="s">
        <v>54</v>
      </c>
    </row>
    <row r="14" spans="1:16" ht="39.6" x14ac:dyDescent="0.2">
      <c r="A14" s="121"/>
      <c r="B14" s="122"/>
      <c r="C14" s="123" t="s">
        <v>282</v>
      </c>
      <c r="D14" s="124"/>
      <c r="E14" s="125"/>
      <c r="F14" s="126"/>
      <c r="G14" s="127"/>
      <c r="H14" s="127"/>
      <c r="I14" s="127"/>
      <c r="J14" s="127"/>
      <c r="K14" s="127"/>
      <c r="L14" s="107"/>
      <c r="M14" s="93"/>
      <c r="N14" s="93"/>
      <c r="O14" s="93"/>
      <c r="P14" s="96"/>
    </row>
    <row r="15" spans="1:16" ht="39.6" x14ac:dyDescent="0.2">
      <c r="A15" s="160">
        <v>1</v>
      </c>
      <c r="B15" s="157" t="s">
        <v>56</v>
      </c>
      <c r="C15" s="163" t="s">
        <v>283</v>
      </c>
      <c r="D15" s="157" t="s">
        <v>58</v>
      </c>
      <c r="E15" s="162">
        <f>8.975+16.241+2.463+9.418+3.237</f>
        <v>40.334000000000003</v>
      </c>
      <c r="F15" s="133"/>
      <c r="G15" s="134"/>
      <c r="H15" s="135">
        <f>ROUND(F15*G15,2)</f>
        <v>0</v>
      </c>
      <c r="I15" s="134"/>
      <c r="J15" s="134"/>
      <c r="K15" s="134">
        <f>ROUND(H15+J15+I15,2)</f>
        <v>0</v>
      </c>
      <c r="L15" s="105">
        <f>ROUND(E15*F15,2)</f>
        <v>0</v>
      </c>
      <c r="M15" s="87">
        <f>ROUND(E15*H15,2)</f>
        <v>0</v>
      </c>
      <c r="N15" s="87">
        <f>ROUND(E15*I15,2)</f>
        <v>0</v>
      </c>
      <c r="O15" s="87">
        <f>ROUND(E15*J15,2)</f>
        <v>0</v>
      </c>
      <c r="P15" s="88">
        <f>ROUND(O15+N15+M15,2)</f>
        <v>0</v>
      </c>
    </row>
    <row r="16" spans="1:16" ht="13.2" x14ac:dyDescent="0.2">
      <c r="A16" s="160">
        <v>2</v>
      </c>
      <c r="B16" s="157" t="s">
        <v>56</v>
      </c>
      <c r="C16" s="163" t="s">
        <v>284</v>
      </c>
      <c r="D16" s="157" t="s">
        <v>70</v>
      </c>
      <c r="E16" s="162">
        <v>87.9</v>
      </c>
      <c r="F16" s="133"/>
      <c r="G16" s="134"/>
      <c r="H16" s="135">
        <f t="shared" ref="H16:H44" si="0">ROUND(F16*G16,2)</f>
        <v>0</v>
      </c>
      <c r="I16" s="134"/>
      <c r="J16" s="134"/>
      <c r="K16" s="134">
        <f>ROUND(H16+J16+I16,2)</f>
        <v>0</v>
      </c>
      <c r="L16" s="105">
        <f>ROUND(E16*F16,2)</f>
        <v>0</v>
      </c>
      <c r="M16" s="87">
        <f>ROUND(E16*H16,2)</f>
        <v>0</v>
      </c>
      <c r="N16" s="87">
        <f>ROUND(E16*I16,2)</f>
        <v>0</v>
      </c>
      <c r="O16" s="87">
        <f>ROUND(E16*J16,2)</f>
        <v>0</v>
      </c>
      <c r="P16" s="88">
        <f>ROUND(O16+N16+M16,2)</f>
        <v>0</v>
      </c>
    </row>
    <row r="17" spans="1:16" ht="26.4" x14ac:dyDescent="0.2">
      <c r="A17" s="160">
        <v>3</v>
      </c>
      <c r="B17" s="157" t="s">
        <v>56</v>
      </c>
      <c r="C17" s="163" t="s">
        <v>285</v>
      </c>
      <c r="D17" s="157" t="s">
        <v>70</v>
      </c>
      <c r="E17" s="162">
        <f>E16</f>
        <v>87.9</v>
      </c>
      <c r="F17" s="133"/>
      <c r="G17" s="134"/>
      <c r="H17" s="135">
        <f t="shared" si="0"/>
        <v>0</v>
      </c>
      <c r="I17" s="134"/>
      <c r="J17" s="134"/>
      <c r="K17" s="134">
        <f>ROUND(H17+J17+I17,2)</f>
        <v>0</v>
      </c>
      <c r="L17" s="105">
        <f>ROUND(E17*F17,2)</f>
        <v>0</v>
      </c>
      <c r="M17" s="87">
        <f>ROUND(E17*H17,2)</f>
        <v>0</v>
      </c>
      <c r="N17" s="87">
        <f>ROUND(E17*I17,2)</f>
        <v>0</v>
      </c>
      <c r="O17" s="87">
        <f>ROUND(E17*J17,2)</f>
        <v>0</v>
      </c>
      <c r="P17" s="88">
        <f>ROUND(O17+N17+M17,2)</f>
        <v>0</v>
      </c>
    </row>
    <row r="18" spans="1:16" ht="26.4" x14ac:dyDescent="0.2">
      <c r="A18" s="160">
        <v>4</v>
      </c>
      <c r="B18" s="157" t="s">
        <v>56</v>
      </c>
      <c r="C18" s="163" t="s">
        <v>286</v>
      </c>
      <c r="D18" s="157" t="s">
        <v>70</v>
      </c>
      <c r="E18" s="162">
        <f>E16</f>
        <v>87.9</v>
      </c>
      <c r="F18" s="133"/>
      <c r="G18" s="134"/>
      <c r="H18" s="135">
        <f t="shared" si="0"/>
        <v>0</v>
      </c>
      <c r="I18" s="134"/>
      <c r="J18" s="134"/>
      <c r="K18" s="134">
        <f>ROUND(H18+J18+I18,2)</f>
        <v>0</v>
      </c>
      <c r="L18" s="105">
        <f>ROUND(E18*F18,2)</f>
        <v>0</v>
      </c>
      <c r="M18" s="87">
        <f>ROUND(E18*H18,2)</f>
        <v>0</v>
      </c>
      <c r="N18" s="87">
        <f>ROUND(E18*I18,2)</f>
        <v>0</v>
      </c>
      <c r="O18" s="87">
        <f>ROUND(E18*J18,2)</f>
        <v>0</v>
      </c>
      <c r="P18" s="88">
        <f>ROUND(O18+N18+M18,2)</f>
        <v>0</v>
      </c>
    </row>
    <row r="19" spans="1:16" ht="13.2" x14ac:dyDescent="0.2">
      <c r="A19" s="160">
        <v>5</v>
      </c>
      <c r="B19" s="157"/>
      <c r="C19" s="164" t="s">
        <v>160</v>
      </c>
      <c r="D19" s="157" t="s">
        <v>157</v>
      </c>
      <c r="E19" s="162">
        <f>E18*0.12</f>
        <v>10.548</v>
      </c>
      <c r="F19" s="133"/>
      <c r="G19" s="134"/>
      <c r="H19" s="135"/>
      <c r="I19" s="134"/>
      <c r="J19" s="134"/>
      <c r="K19" s="134">
        <f t="shared" ref="K19:K46" si="1">ROUND(H19+J19+I19,2)</f>
        <v>0</v>
      </c>
      <c r="L19" s="105">
        <f t="shared" ref="L19:L33" si="2">ROUND(E19*F19,2)</f>
        <v>0</v>
      </c>
      <c r="M19" s="87">
        <f t="shared" ref="M19:M33" si="3">ROUND(E19*H19,2)</f>
        <v>0</v>
      </c>
      <c r="N19" s="87">
        <f t="shared" ref="N19:N33" si="4">ROUND(E19*I19,2)</f>
        <v>0</v>
      </c>
      <c r="O19" s="87">
        <f t="shared" ref="O19:O33" si="5">ROUND(E19*J19,2)</f>
        <v>0</v>
      </c>
      <c r="P19" s="88">
        <f t="shared" ref="P19:P33" si="6">ROUND(O19+N19+M19,2)</f>
        <v>0</v>
      </c>
    </row>
    <row r="20" spans="1:16" ht="26.4" x14ac:dyDescent="0.2">
      <c r="A20" s="160">
        <v>6</v>
      </c>
      <c r="B20" s="157"/>
      <c r="C20" s="164" t="s">
        <v>161</v>
      </c>
      <c r="D20" s="157" t="s">
        <v>162</v>
      </c>
      <c r="E20" s="162">
        <f>E18*5</f>
        <v>439.5</v>
      </c>
      <c r="F20" s="133"/>
      <c r="G20" s="134"/>
      <c r="H20" s="135"/>
      <c r="I20" s="134"/>
      <c r="J20" s="134"/>
      <c r="K20" s="134">
        <f t="shared" si="1"/>
        <v>0</v>
      </c>
      <c r="L20" s="105">
        <f t="shared" si="2"/>
        <v>0</v>
      </c>
      <c r="M20" s="87">
        <f t="shared" si="3"/>
        <v>0</v>
      </c>
      <c r="N20" s="87">
        <f t="shared" si="4"/>
        <v>0</v>
      </c>
      <c r="O20" s="87">
        <f t="shared" si="5"/>
        <v>0</v>
      </c>
      <c r="P20" s="88">
        <f t="shared" si="6"/>
        <v>0</v>
      </c>
    </row>
    <row r="21" spans="1:16" ht="13.2" x14ac:dyDescent="0.2">
      <c r="A21" s="160">
        <v>7</v>
      </c>
      <c r="B21" s="157" t="s">
        <v>56</v>
      </c>
      <c r="C21" s="163" t="s">
        <v>287</v>
      </c>
      <c r="D21" s="157" t="s">
        <v>70</v>
      </c>
      <c r="E21" s="162">
        <f>E18</f>
        <v>87.9</v>
      </c>
      <c r="F21" s="133"/>
      <c r="G21" s="134"/>
      <c r="H21" s="135">
        <f t="shared" si="0"/>
        <v>0</v>
      </c>
      <c r="I21" s="134"/>
      <c r="J21" s="134"/>
      <c r="K21" s="134">
        <f>ROUND(H21+J21+I21,2)</f>
        <v>0</v>
      </c>
      <c r="L21" s="105">
        <f>ROUND(E21*F21,2)</f>
        <v>0</v>
      </c>
      <c r="M21" s="87">
        <f>ROUND(E21*H21,2)</f>
        <v>0</v>
      </c>
      <c r="N21" s="87">
        <f>ROUND(E21*I21,2)</f>
        <v>0</v>
      </c>
      <c r="O21" s="87">
        <f>ROUND(E21*J21,2)</f>
        <v>0</v>
      </c>
      <c r="P21" s="88">
        <f>ROUND(O21+N21+M21,2)</f>
        <v>0</v>
      </c>
    </row>
    <row r="22" spans="1:16" ht="13.2" x14ac:dyDescent="0.2">
      <c r="A22" s="160">
        <v>8</v>
      </c>
      <c r="B22" s="157"/>
      <c r="C22" s="164" t="s">
        <v>288</v>
      </c>
      <c r="D22" s="157" t="s">
        <v>289</v>
      </c>
      <c r="E22" s="162">
        <f>ROUND(E21/6,2)</f>
        <v>14.65</v>
      </c>
      <c r="F22" s="133"/>
      <c r="G22" s="134"/>
      <c r="H22" s="135"/>
      <c r="I22" s="134"/>
      <c r="J22" s="134"/>
      <c r="K22" s="134">
        <f t="shared" ref="K22:K24" si="7">ROUND(H22+J22+I22,2)</f>
        <v>0</v>
      </c>
      <c r="L22" s="105">
        <f t="shared" ref="L22:L24" si="8">ROUND(E22*F22,2)</f>
        <v>0</v>
      </c>
      <c r="M22" s="87">
        <f t="shared" ref="M22:M24" si="9">ROUND(E22*H22,2)</f>
        <v>0</v>
      </c>
      <c r="N22" s="87">
        <f t="shared" ref="N22:N24" si="10">ROUND(E22*I22,2)</f>
        <v>0</v>
      </c>
      <c r="O22" s="87">
        <f t="shared" ref="O22:O24" si="11">ROUND(E22*J22,2)</f>
        <v>0</v>
      </c>
      <c r="P22" s="88">
        <f t="shared" ref="P22:P24" si="12">ROUND(O22+N22+M22,2)</f>
        <v>0</v>
      </c>
    </row>
    <row r="23" spans="1:16" ht="13.2" x14ac:dyDescent="0.2">
      <c r="A23" s="160">
        <v>9</v>
      </c>
      <c r="B23" s="157"/>
      <c r="C23" s="164" t="s">
        <v>290</v>
      </c>
      <c r="D23" s="157" t="s">
        <v>62</v>
      </c>
      <c r="E23" s="162">
        <f>ROUND(E21*5.5,0)</f>
        <v>483</v>
      </c>
      <c r="F23" s="133"/>
      <c r="G23" s="134"/>
      <c r="H23" s="135"/>
      <c r="I23" s="134"/>
      <c r="J23" s="134"/>
      <c r="K23" s="134">
        <f t="shared" si="7"/>
        <v>0</v>
      </c>
      <c r="L23" s="105">
        <f t="shared" si="8"/>
        <v>0</v>
      </c>
      <c r="M23" s="87">
        <f t="shared" si="9"/>
        <v>0</v>
      </c>
      <c r="N23" s="87">
        <f t="shared" si="10"/>
        <v>0</v>
      </c>
      <c r="O23" s="87">
        <f t="shared" si="11"/>
        <v>0</v>
      </c>
      <c r="P23" s="88">
        <f t="shared" si="12"/>
        <v>0</v>
      </c>
    </row>
    <row r="24" spans="1:16" ht="13.2" x14ac:dyDescent="0.2">
      <c r="A24" s="160">
        <v>10</v>
      </c>
      <c r="B24" s="157"/>
      <c r="C24" s="164" t="s">
        <v>291</v>
      </c>
      <c r="D24" s="157" t="s">
        <v>62</v>
      </c>
      <c r="E24" s="162">
        <f>E23</f>
        <v>483</v>
      </c>
      <c r="F24" s="133"/>
      <c r="G24" s="134"/>
      <c r="H24" s="135"/>
      <c r="I24" s="134"/>
      <c r="J24" s="134"/>
      <c r="K24" s="134">
        <f t="shared" si="7"/>
        <v>0</v>
      </c>
      <c r="L24" s="105">
        <f t="shared" si="8"/>
        <v>0</v>
      </c>
      <c r="M24" s="87">
        <f t="shared" si="9"/>
        <v>0</v>
      </c>
      <c r="N24" s="87">
        <f t="shared" si="10"/>
        <v>0</v>
      </c>
      <c r="O24" s="87">
        <f t="shared" si="11"/>
        <v>0</v>
      </c>
      <c r="P24" s="88">
        <f t="shared" si="12"/>
        <v>0</v>
      </c>
    </row>
    <row r="25" spans="1:16" ht="26.4" x14ac:dyDescent="0.2">
      <c r="A25" s="160">
        <v>11</v>
      </c>
      <c r="B25" s="157"/>
      <c r="C25" s="164" t="s">
        <v>292</v>
      </c>
      <c r="D25" s="157" t="s">
        <v>70</v>
      </c>
      <c r="E25" s="162">
        <f>E21*1.02</f>
        <v>89.658000000000001</v>
      </c>
      <c r="F25" s="133"/>
      <c r="G25" s="134"/>
      <c r="H25" s="135"/>
      <c r="I25" s="134"/>
      <c r="J25" s="134"/>
      <c r="K25" s="134">
        <f t="shared" si="1"/>
        <v>0</v>
      </c>
      <c r="L25" s="105">
        <f t="shared" si="2"/>
        <v>0</v>
      </c>
      <c r="M25" s="87">
        <f t="shared" si="3"/>
        <v>0</v>
      </c>
      <c r="N25" s="87">
        <f t="shared" si="4"/>
        <v>0</v>
      </c>
      <c r="O25" s="87">
        <f t="shared" si="5"/>
        <v>0</v>
      </c>
      <c r="P25" s="88">
        <f t="shared" si="6"/>
        <v>0</v>
      </c>
    </row>
    <row r="26" spans="1:16" ht="26.4" x14ac:dyDescent="0.2">
      <c r="A26" s="160">
        <v>12</v>
      </c>
      <c r="B26" s="157" t="s">
        <v>56</v>
      </c>
      <c r="C26" s="163" t="s">
        <v>293</v>
      </c>
      <c r="D26" s="157" t="s">
        <v>70</v>
      </c>
      <c r="E26" s="162">
        <v>2.8</v>
      </c>
      <c r="F26" s="133"/>
      <c r="G26" s="134"/>
      <c r="H26" s="135">
        <f t="shared" ref="H26" si="13">ROUND(F26*G26,2)</f>
        <v>0</v>
      </c>
      <c r="I26" s="134"/>
      <c r="J26" s="134"/>
      <c r="K26" s="134">
        <f>ROUND(H26+J26+I26,2)</f>
        <v>0</v>
      </c>
      <c r="L26" s="105">
        <f t="shared" si="2"/>
        <v>0</v>
      </c>
      <c r="M26" s="87">
        <f t="shared" si="3"/>
        <v>0</v>
      </c>
      <c r="N26" s="87">
        <f t="shared" si="4"/>
        <v>0</v>
      </c>
      <c r="O26" s="87">
        <f t="shared" si="5"/>
        <v>0</v>
      </c>
      <c r="P26" s="88">
        <f t="shared" si="6"/>
        <v>0</v>
      </c>
    </row>
    <row r="27" spans="1:16" ht="13.2" x14ac:dyDescent="0.2">
      <c r="A27" s="160">
        <v>13</v>
      </c>
      <c r="B27" s="157"/>
      <c r="C27" s="164" t="s">
        <v>288</v>
      </c>
      <c r="D27" s="157" t="s">
        <v>289</v>
      </c>
      <c r="E27" s="162">
        <f>ROUND(E26/6,2)</f>
        <v>0.47</v>
      </c>
      <c r="F27" s="133"/>
      <c r="G27" s="134"/>
      <c r="H27" s="135"/>
      <c r="I27" s="134"/>
      <c r="J27" s="134"/>
      <c r="K27" s="134">
        <f t="shared" ref="K27:K31" si="14">ROUND(H27+J27+I27,2)</f>
        <v>0</v>
      </c>
      <c r="L27" s="105">
        <f t="shared" si="2"/>
        <v>0</v>
      </c>
      <c r="M27" s="87">
        <f t="shared" si="3"/>
        <v>0</v>
      </c>
      <c r="N27" s="87">
        <f t="shared" si="4"/>
        <v>0</v>
      </c>
      <c r="O27" s="87">
        <f t="shared" si="5"/>
        <v>0</v>
      </c>
      <c r="P27" s="88">
        <f t="shared" si="6"/>
        <v>0</v>
      </c>
    </row>
    <row r="28" spans="1:16" ht="13.2" x14ac:dyDescent="0.2">
      <c r="A28" s="160">
        <v>14</v>
      </c>
      <c r="B28" s="157"/>
      <c r="C28" s="164" t="s">
        <v>294</v>
      </c>
      <c r="D28" s="157" t="s">
        <v>58</v>
      </c>
      <c r="E28" s="162">
        <v>11.2</v>
      </c>
      <c r="F28" s="133"/>
      <c r="G28" s="134"/>
      <c r="H28" s="135"/>
      <c r="I28" s="134"/>
      <c r="J28" s="134"/>
      <c r="K28" s="134">
        <f t="shared" si="14"/>
        <v>0</v>
      </c>
      <c r="L28" s="105">
        <f t="shared" si="2"/>
        <v>0</v>
      </c>
      <c r="M28" s="87">
        <f t="shared" si="3"/>
        <v>0</v>
      </c>
      <c r="N28" s="87">
        <f t="shared" si="4"/>
        <v>0</v>
      </c>
      <c r="O28" s="87">
        <f t="shared" si="5"/>
        <v>0</v>
      </c>
      <c r="P28" s="88">
        <f t="shared" si="6"/>
        <v>0</v>
      </c>
    </row>
    <row r="29" spans="1:16" ht="13.2" x14ac:dyDescent="0.2">
      <c r="A29" s="160">
        <v>15</v>
      </c>
      <c r="B29" s="157"/>
      <c r="C29" s="164" t="s">
        <v>295</v>
      </c>
      <c r="D29" s="157" t="s">
        <v>62</v>
      </c>
      <c r="E29" s="162">
        <f>ROUND(E26*9,0)</f>
        <v>25</v>
      </c>
      <c r="F29" s="133"/>
      <c r="G29" s="134"/>
      <c r="H29" s="135"/>
      <c r="I29" s="134"/>
      <c r="J29" s="134"/>
      <c r="K29" s="134">
        <f t="shared" si="14"/>
        <v>0</v>
      </c>
      <c r="L29" s="105">
        <f t="shared" si="2"/>
        <v>0</v>
      </c>
      <c r="M29" s="87">
        <f t="shared" si="3"/>
        <v>0</v>
      </c>
      <c r="N29" s="87">
        <f t="shared" si="4"/>
        <v>0</v>
      </c>
      <c r="O29" s="87">
        <f t="shared" si="5"/>
        <v>0</v>
      </c>
      <c r="P29" s="88">
        <f t="shared" si="6"/>
        <v>0</v>
      </c>
    </row>
    <row r="30" spans="1:16" ht="13.2" x14ac:dyDescent="0.2">
      <c r="A30" s="160">
        <v>16</v>
      </c>
      <c r="B30" s="157"/>
      <c r="C30" s="164" t="s">
        <v>291</v>
      </c>
      <c r="D30" s="157" t="s">
        <v>62</v>
      </c>
      <c r="E30" s="162">
        <f>E29</f>
        <v>25</v>
      </c>
      <c r="F30" s="133"/>
      <c r="G30" s="134"/>
      <c r="H30" s="135"/>
      <c r="I30" s="134"/>
      <c r="J30" s="134"/>
      <c r="K30" s="134">
        <f t="shared" si="14"/>
        <v>0</v>
      </c>
      <c r="L30" s="105">
        <f t="shared" si="2"/>
        <v>0</v>
      </c>
      <c r="M30" s="87">
        <f t="shared" si="3"/>
        <v>0</v>
      </c>
      <c r="N30" s="87">
        <f t="shared" si="4"/>
        <v>0</v>
      </c>
      <c r="O30" s="87">
        <f t="shared" si="5"/>
        <v>0</v>
      </c>
      <c r="P30" s="88">
        <f t="shared" si="6"/>
        <v>0</v>
      </c>
    </row>
    <row r="31" spans="1:16" ht="26.4" x14ac:dyDescent="0.2">
      <c r="A31" s="160">
        <v>17</v>
      </c>
      <c r="B31" s="157"/>
      <c r="C31" s="164" t="s">
        <v>292</v>
      </c>
      <c r="D31" s="157" t="s">
        <v>70</v>
      </c>
      <c r="E31" s="162">
        <f>E26*1.02</f>
        <v>2.8559999999999999</v>
      </c>
      <c r="F31" s="133"/>
      <c r="G31" s="134"/>
      <c r="H31" s="135"/>
      <c r="I31" s="134"/>
      <c r="J31" s="134"/>
      <c r="K31" s="134">
        <f t="shared" si="14"/>
        <v>0</v>
      </c>
      <c r="L31" s="105">
        <f t="shared" si="2"/>
        <v>0</v>
      </c>
      <c r="M31" s="87">
        <f t="shared" si="3"/>
        <v>0</v>
      </c>
      <c r="N31" s="87">
        <f t="shared" si="4"/>
        <v>0</v>
      </c>
      <c r="O31" s="87">
        <f t="shared" si="5"/>
        <v>0</v>
      </c>
      <c r="P31" s="88">
        <f t="shared" si="6"/>
        <v>0</v>
      </c>
    </row>
    <row r="32" spans="1:16" ht="26.4" x14ac:dyDescent="0.2">
      <c r="A32" s="160">
        <v>18</v>
      </c>
      <c r="B32" s="157" t="s">
        <v>56</v>
      </c>
      <c r="C32" s="163" t="s">
        <v>296</v>
      </c>
      <c r="D32" s="157" t="s">
        <v>70</v>
      </c>
      <c r="E32" s="162">
        <v>0.3</v>
      </c>
      <c r="F32" s="133"/>
      <c r="G32" s="134"/>
      <c r="H32" s="135">
        <f t="shared" ref="H32" si="15">ROUND(F32*G32,2)</f>
        <v>0</v>
      </c>
      <c r="I32" s="134"/>
      <c r="J32" s="134"/>
      <c r="K32" s="134">
        <f>ROUND(H32+J32+I32,2)</f>
        <v>0</v>
      </c>
      <c r="L32" s="105">
        <f t="shared" si="2"/>
        <v>0</v>
      </c>
      <c r="M32" s="87">
        <f t="shared" si="3"/>
        <v>0</v>
      </c>
      <c r="N32" s="87">
        <f t="shared" si="4"/>
        <v>0</v>
      </c>
      <c r="O32" s="87">
        <f t="shared" si="5"/>
        <v>0</v>
      </c>
      <c r="P32" s="88">
        <f t="shared" si="6"/>
        <v>0</v>
      </c>
    </row>
    <row r="33" spans="1:16" ht="13.2" x14ac:dyDescent="0.2">
      <c r="A33" s="160">
        <v>19</v>
      </c>
      <c r="B33" s="157"/>
      <c r="C33" s="164" t="s">
        <v>297</v>
      </c>
      <c r="D33" s="157" t="s">
        <v>289</v>
      </c>
      <c r="E33" s="162">
        <f>ROUND(E32/6,2)</f>
        <v>0.05</v>
      </c>
      <c r="F33" s="133"/>
      <c r="G33" s="134"/>
      <c r="H33" s="135"/>
      <c r="I33" s="134"/>
      <c r="J33" s="134"/>
      <c r="K33" s="134">
        <f t="shared" ref="K33:K37" si="16">ROUND(H33+J33+I33,2)</f>
        <v>0</v>
      </c>
      <c r="L33" s="105">
        <f t="shared" si="2"/>
        <v>0</v>
      </c>
      <c r="M33" s="87">
        <f t="shared" si="3"/>
        <v>0</v>
      </c>
      <c r="N33" s="87">
        <f t="shared" si="4"/>
        <v>0</v>
      </c>
      <c r="O33" s="87">
        <f t="shared" si="5"/>
        <v>0</v>
      </c>
      <c r="P33" s="88">
        <f t="shared" si="6"/>
        <v>0</v>
      </c>
    </row>
    <row r="34" spans="1:16" ht="13.2" x14ac:dyDescent="0.2">
      <c r="A34" s="160">
        <v>20</v>
      </c>
      <c r="B34" s="157"/>
      <c r="C34" s="164" t="s">
        <v>294</v>
      </c>
      <c r="D34" s="157" t="s">
        <v>58</v>
      </c>
      <c r="E34" s="162">
        <v>2</v>
      </c>
      <c r="F34" s="133"/>
      <c r="G34" s="134"/>
      <c r="H34" s="135"/>
      <c r="I34" s="134"/>
      <c r="J34" s="134"/>
      <c r="K34" s="134">
        <f t="shared" si="16"/>
        <v>0</v>
      </c>
      <c r="L34" s="108"/>
      <c r="M34" s="99"/>
      <c r="N34" s="99"/>
      <c r="O34" s="99"/>
      <c r="P34" s="100"/>
    </row>
    <row r="35" spans="1:16" ht="13.2" x14ac:dyDescent="0.2">
      <c r="A35" s="160">
        <v>21</v>
      </c>
      <c r="B35" s="157"/>
      <c r="C35" s="164" t="s">
        <v>298</v>
      </c>
      <c r="D35" s="157" t="s">
        <v>62</v>
      </c>
      <c r="E35" s="162">
        <f>ROUND(E32*9,0)</f>
        <v>3</v>
      </c>
      <c r="F35" s="133"/>
      <c r="G35" s="134"/>
      <c r="H35" s="135"/>
      <c r="I35" s="134"/>
      <c r="J35" s="134"/>
      <c r="K35" s="134">
        <f t="shared" si="16"/>
        <v>0</v>
      </c>
      <c r="L35" s="105">
        <f>ROUND(E35*F35,2)</f>
        <v>0</v>
      </c>
      <c r="M35" s="87">
        <f>ROUND(E35*H35,2)</f>
        <v>0</v>
      </c>
      <c r="N35" s="87">
        <f>ROUND(E35*I35,2)</f>
        <v>0</v>
      </c>
      <c r="O35" s="87">
        <f>ROUND(E35*J35,2)</f>
        <v>0</v>
      </c>
      <c r="P35" s="88">
        <f>ROUND(O35+N35+M35,2)</f>
        <v>0</v>
      </c>
    </row>
    <row r="36" spans="1:16" ht="13.2" x14ac:dyDescent="0.2">
      <c r="A36" s="160">
        <v>22</v>
      </c>
      <c r="B36" s="157"/>
      <c r="C36" s="164" t="s">
        <v>291</v>
      </c>
      <c r="D36" s="157" t="s">
        <v>62</v>
      </c>
      <c r="E36" s="162">
        <f>E35</f>
        <v>3</v>
      </c>
      <c r="F36" s="133"/>
      <c r="G36" s="134"/>
      <c r="H36" s="135"/>
      <c r="I36" s="134"/>
      <c r="J36" s="134"/>
      <c r="K36" s="134">
        <f t="shared" si="16"/>
        <v>0</v>
      </c>
      <c r="L36" s="105">
        <f>ROUND(E36*F36,2)</f>
        <v>0</v>
      </c>
      <c r="M36" s="87">
        <f>ROUND(E36*H36,2)</f>
        <v>0</v>
      </c>
      <c r="N36" s="87">
        <f>ROUND(E36*I36,2)</f>
        <v>0</v>
      </c>
      <c r="O36" s="87">
        <f>ROUND(E36*J36,2)</f>
        <v>0</v>
      </c>
      <c r="P36" s="88">
        <f>ROUND(O36+N36+M36,2)</f>
        <v>0</v>
      </c>
    </row>
    <row r="37" spans="1:16" ht="26.4" x14ac:dyDescent="0.2">
      <c r="A37" s="160">
        <v>23</v>
      </c>
      <c r="B37" s="157"/>
      <c r="C37" s="164" t="s">
        <v>292</v>
      </c>
      <c r="D37" s="157" t="s">
        <v>70</v>
      </c>
      <c r="E37" s="162">
        <f>E32*1.02</f>
        <v>0.30599999999999999</v>
      </c>
      <c r="F37" s="133"/>
      <c r="G37" s="134"/>
      <c r="H37" s="135"/>
      <c r="I37" s="134"/>
      <c r="J37" s="134"/>
      <c r="K37" s="134">
        <f t="shared" si="16"/>
        <v>0</v>
      </c>
      <c r="L37" s="105">
        <f>ROUND(E37*F37,2)</f>
        <v>0</v>
      </c>
      <c r="M37" s="87">
        <f>ROUND(E37*H37,2)</f>
        <v>0</v>
      </c>
      <c r="N37" s="87">
        <f>ROUND(E37*I37,2)</f>
        <v>0</v>
      </c>
      <c r="O37" s="87">
        <f>ROUND(E37*J37,2)</f>
        <v>0</v>
      </c>
      <c r="P37" s="88">
        <f>ROUND(O37+N37+M37,2)</f>
        <v>0</v>
      </c>
    </row>
    <row r="38" spans="1:16" ht="13.2" x14ac:dyDescent="0.2">
      <c r="A38" s="160">
        <v>24</v>
      </c>
      <c r="B38" s="157" t="s">
        <v>56</v>
      </c>
      <c r="C38" s="163" t="s">
        <v>177</v>
      </c>
      <c r="D38" s="157" t="s">
        <v>70</v>
      </c>
      <c r="E38" s="162">
        <f>E21</f>
        <v>87.9</v>
      </c>
      <c r="F38" s="133"/>
      <c r="G38" s="134"/>
      <c r="H38" s="135">
        <f t="shared" si="0"/>
        <v>0</v>
      </c>
      <c r="I38" s="134"/>
      <c r="J38" s="134"/>
      <c r="K38" s="134">
        <f t="shared" si="1"/>
        <v>0</v>
      </c>
      <c r="L38" s="105">
        <f>ROUND(E38*F38,2)</f>
        <v>0</v>
      </c>
      <c r="M38" s="87">
        <f>ROUND(E38*H38,2)</f>
        <v>0</v>
      </c>
      <c r="N38" s="87">
        <f>ROUND(E38*I38,2)</f>
        <v>0</v>
      </c>
      <c r="O38" s="87">
        <f>ROUND(E38*J38,2)</f>
        <v>0</v>
      </c>
      <c r="P38" s="88">
        <f>ROUND(O38+N38+M38,2)</f>
        <v>0</v>
      </c>
    </row>
    <row r="39" spans="1:16" ht="13.2" x14ac:dyDescent="0.2">
      <c r="A39" s="160">
        <v>25</v>
      </c>
      <c r="B39" s="157"/>
      <c r="C39" s="164" t="s">
        <v>160</v>
      </c>
      <c r="D39" s="157" t="s">
        <v>157</v>
      </c>
      <c r="E39" s="162">
        <f>E38*0.12</f>
        <v>10.548</v>
      </c>
      <c r="F39" s="133"/>
      <c r="G39" s="134"/>
      <c r="H39" s="135"/>
      <c r="I39" s="134"/>
      <c r="J39" s="134"/>
      <c r="K39" s="134">
        <f t="shared" si="1"/>
        <v>0</v>
      </c>
      <c r="L39" s="105">
        <f t="shared" ref="L39:L40" si="17">ROUND(E39*F39,2)</f>
        <v>0</v>
      </c>
      <c r="M39" s="87">
        <f t="shared" ref="M39:M40" si="18">ROUND(E39*H39,2)</f>
        <v>0</v>
      </c>
      <c r="N39" s="87">
        <f t="shared" ref="N39:N40" si="19">ROUND(E39*I39,2)</f>
        <v>0</v>
      </c>
      <c r="O39" s="87">
        <f t="shared" ref="O39:O40" si="20">ROUND(E39*J39,2)</f>
        <v>0</v>
      </c>
      <c r="P39" s="88">
        <f t="shared" ref="P39:P40" si="21">ROUND(O39+N39+M39,2)</f>
        <v>0</v>
      </c>
    </row>
    <row r="40" spans="1:16" ht="13.2" x14ac:dyDescent="0.2">
      <c r="A40" s="160">
        <v>26</v>
      </c>
      <c r="B40" s="157"/>
      <c r="C40" s="164" t="s">
        <v>299</v>
      </c>
      <c r="D40" s="157" t="s">
        <v>165</v>
      </c>
      <c r="E40" s="162">
        <f>E38*4.5</f>
        <v>395.55</v>
      </c>
      <c r="F40" s="133"/>
      <c r="G40" s="134"/>
      <c r="H40" s="135"/>
      <c r="I40" s="134"/>
      <c r="J40" s="134"/>
      <c r="K40" s="134">
        <f t="shared" si="1"/>
        <v>0</v>
      </c>
      <c r="L40" s="105">
        <f t="shared" si="17"/>
        <v>0</v>
      </c>
      <c r="M40" s="87">
        <f t="shared" si="18"/>
        <v>0</v>
      </c>
      <c r="N40" s="87">
        <f t="shared" si="19"/>
        <v>0</v>
      </c>
      <c r="O40" s="87">
        <f t="shared" si="20"/>
        <v>0</v>
      </c>
      <c r="P40" s="88">
        <f t="shared" si="21"/>
        <v>0</v>
      </c>
    </row>
    <row r="41" spans="1:16" ht="13.2" x14ac:dyDescent="0.2">
      <c r="A41" s="160">
        <v>27</v>
      </c>
      <c r="B41" s="157"/>
      <c r="C41" s="164" t="s">
        <v>170</v>
      </c>
      <c r="D41" s="157" t="s">
        <v>70</v>
      </c>
      <c r="E41" s="162">
        <f>E38*1.2</f>
        <v>105.48</v>
      </c>
      <c r="F41" s="133"/>
      <c r="G41" s="134"/>
      <c r="H41" s="135"/>
      <c r="I41" s="134"/>
      <c r="J41" s="134"/>
      <c r="K41" s="134">
        <f t="shared" si="1"/>
        <v>0</v>
      </c>
      <c r="L41" s="105">
        <f>ROUND(E41*F41,2)</f>
        <v>0</v>
      </c>
      <c r="M41" s="87">
        <f>ROUND(E41*H41,2)</f>
        <v>0</v>
      </c>
      <c r="N41" s="87">
        <f>ROUND(E41*I41,2)</f>
        <v>0</v>
      </c>
      <c r="O41" s="87">
        <f>ROUND(E41*J41,2)</f>
        <v>0</v>
      </c>
      <c r="P41" s="88">
        <f>ROUND(O41+N41+M41,2)</f>
        <v>0</v>
      </c>
    </row>
    <row r="42" spans="1:16" ht="13.2" x14ac:dyDescent="0.2">
      <c r="A42" s="160">
        <v>28</v>
      </c>
      <c r="B42" s="157"/>
      <c r="C42" s="164" t="s">
        <v>300</v>
      </c>
      <c r="D42" s="157" t="s">
        <v>58</v>
      </c>
      <c r="E42" s="162">
        <v>5.3</v>
      </c>
      <c r="F42" s="133"/>
      <c r="G42" s="134"/>
      <c r="H42" s="135"/>
      <c r="I42" s="134"/>
      <c r="J42" s="134"/>
      <c r="K42" s="134">
        <f t="shared" si="1"/>
        <v>0</v>
      </c>
      <c r="L42" s="105">
        <f t="shared" ref="L42:L53" si="22">ROUND(E42*F42,2)</f>
        <v>0</v>
      </c>
      <c r="M42" s="87">
        <f t="shared" ref="M42:M53" si="23">ROUND(E42*H42,2)</f>
        <v>0</v>
      </c>
      <c r="N42" s="87">
        <f t="shared" ref="N42:N53" si="24">ROUND(E42*I42,2)</f>
        <v>0</v>
      </c>
      <c r="O42" s="87">
        <f t="shared" ref="O42:O53" si="25">ROUND(E42*J42,2)</f>
        <v>0</v>
      </c>
      <c r="P42" s="88">
        <f t="shared" ref="P42:P53" si="26">ROUND(O42+N42+M42,2)</f>
        <v>0</v>
      </c>
    </row>
    <row r="43" spans="1:16" ht="26.4" x14ac:dyDescent="0.2">
      <c r="A43" s="160">
        <v>29</v>
      </c>
      <c r="B43" s="157"/>
      <c r="C43" s="164" t="s">
        <v>245</v>
      </c>
      <c r="D43" s="157" t="s">
        <v>58</v>
      </c>
      <c r="E43" s="162">
        <v>2.2000000000000002</v>
      </c>
      <c r="F43" s="133"/>
      <c r="G43" s="134"/>
      <c r="H43" s="135"/>
      <c r="I43" s="134"/>
      <c r="J43" s="134"/>
      <c r="K43" s="134">
        <f t="shared" si="1"/>
        <v>0</v>
      </c>
      <c r="L43" s="105">
        <f t="shared" si="22"/>
        <v>0</v>
      </c>
      <c r="M43" s="87">
        <f t="shared" si="23"/>
        <v>0</v>
      </c>
      <c r="N43" s="87">
        <f t="shared" si="24"/>
        <v>0</v>
      </c>
      <c r="O43" s="87">
        <f t="shared" si="25"/>
        <v>0</v>
      </c>
      <c r="P43" s="88">
        <f t="shared" si="26"/>
        <v>0</v>
      </c>
    </row>
    <row r="44" spans="1:16" ht="13.2" x14ac:dyDescent="0.2">
      <c r="A44" s="160">
        <v>30</v>
      </c>
      <c r="B44" s="157" t="s">
        <v>56</v>
      </c>
      <c r="C44" s="163" t="s">
        <v>248</v>
      </c>
      <c r="D44" s="157" t="s">
        <v>70</v>
      </c>
      <c r="E44" s="162">
        <v>41.1</v>
      </c>
      <c r="F44" s="133"/>
      <c r="G44" s="134"/>
      <c r="H44" s="135">
        <f t="shared" si="0"/>
        <v>0</v>
      </c>
      <c r="I44" s="134"/>
      <c r="J44" s="134"/>
      <c r="K44" s="134">
        <f t="shared" si="1"/>
        <v>0</v>
      </c>
      <c r="L44" s="105">
        <f t="shared" si="22"/>
        <v>0</v>
      </c>
      <c r="M44" s="87">
        <f t="shared" si="23"/>
        <v>0</v>
      </c>
      <c r="N44" s="87">
        <f t="shared" si="24"/>
        <v>0</v>
      </c>
      <c r="O44" s="87">
        <f t="shared" si="25"/>
        <v>0</v>
      </c>
      <c r="P44" s="88">
        <f t="shared" si="26"/>
        <v>0</v>
      </c>
    </row>
    <row r="45" spans="1:16" ht="13.2" x14ac:dyDescent="0.2">
      <c r="A45" s="160">
        <v>31</v>
      </c>
      <c r="B45" s="157"/>
      <c r="C45" s="164" t="s">
        <v>255</v>
      </c>
      <c r="D45" s="157" t="s">
        <v>157</v>
      </c>
      <c r="E45" s="162">
        <f>E44*0.15</f>
        <v>6.165</v>
      </c>
      <c r="F45" s="133"/>
      <c r="G45" s="134"/>
      <c r="H45" s="135"/>
      <c r="I45" s="134"/>
      <c r="J45" s="134"/>
      <c r="K45" s="134">
        <f t="shared" si="1"/>
        <v>0</v>
      </c>
      <c r="L45" s="105">
        <f t="shared" si="22"/>
        <v>0</v>
      </c>
      <c r="M45" s="87">
        <f t="shared" si="23"/>
        <v>0</v>
      </c>
      <c r="N45" s="87">
        <f t="shared" si="24"/>
        <v>0</v>
      </c>
      <c r="O45" s="87">
        <f t="shared" si="25"/>
        <v>0</v>
      </c>
      <c r="P45" s="88">
        <f t="shared" si="26"/>
        <v>0</v>
      </c>
    </row>
    <row r="46" spans="1:16" ht="26.4" x14ac:dyDescent="0.2">
      <c r="A46" s="160">
        <v>32</v>
      </c>
      <c r="B46" s="157"/>
      <c r="C46" s="164" t="s">
        <v>250</v>
      </c>
      <c r="D46" s="157" t="s">
        <v>165</v>
      </c>
      <c r="E46" s="162">
        <f>E44*4</f>
        <v>164.4</v>
      </c>
      <c r="F46" s="133"/>
      <c r="G46" s="134"/>
      <c r="H46" s="135"/>
      <c r="I46" s="134"/>
      <c r="J46" s="134"/>
      <c r="K46" s="134">
        <f t="shared" si="1"/>
        <v>0</v>
      </c>
      <c r="L46" s="105">
        <f t="shared" si="22"/>
        <v>0</v>
      </c>
      <c r="M46" s="87">
        <f t="shared" si="23"/>
        <v>0</v>
      </c>
      <c r="N46" s="87">
        <f t="shared" si="24"/>
        <v>0</v>
      </c>
      <c r="O46" s="87">
        <f t="shared" si="25"/>
        <v>0</v>
      </c>
      <c r="P46" s="88">
        <f t="shared" si="26"/>
        <v>0</v>
      </c>
    </row>
    <row r="47" spans="1:16" ht="39.6" x14ac:dyDescent="0.2">
      <c r="A47" s="165"/>
      <c r="B47" s="166"/>
      <c r="C47" s="167" t="s">
        <v>301</v>
      </c>
      <c r="D47" s="168"/>
      <c r="E47" s="169"/>
      <c r="F47" s="170"/>
      <c r="G47" s="171"/>
      <c r="H47" s="171"/>
      <c r="I47" s="171"/>
      <c r="J47" s="171"/>
      <c r="K47" s="171"/>
      <c r="L47" s="105"/>
      <c r="M47" s="87"/>
      <c r="N47" s="87"/>
      <c r="O47" s="87"/>
      <c r="P47" s="88"/>
    </row>
    <row r="48" spans="1:16" ht="39.6" x14ac:dyDescent="0.2">
      <c r="A48" s="160">
        <v>1</v>
      </c>
      <c r="B48" s="157" t="s">
        <v>56</v>
      </c>
      <c r="C48" s="163" t="s">
        <v>283</v>
      </c>
      <c r="D48" s="157" t="s">
        <v>58</v>
      </c>
      <c r="E48" s="162">
        <f>13.17+2</f>
        <v>15.17</v>
      </c>
      <c r="F48" s="133"/>
      <c r="G48" s="134"/>
      <c r="H48" s="135">
        <f>ROUND(F48*G48,2)</f>
        <v>0</v>
      </c>
      <c r="I48" s="134"/>
      <c r="J48" s="134"/>
      <c r="K48" s="134">
        <f>ROUND(H48+J48+I48,2)</f>
        <v>0</v>
      </c>
      <c r="L48" s="105">
        <f t="shared" si="22"/>
        <v>0</v>
      </c>
      <c r="M48" s="87">
        <f t="shared" si="23"/>
        <v>0</v>
      </c>
      <c r="N48" s="87">
        <f t="shared" si="24"/>
        <v>0</v>
      </c>
      <c r="O48" s="87">
        <f t="shared" si="25"/>
        <v>0</v>
      </c>
      <c r="P48" s="88">
        <f t="shared" si="26"/>
        <v>0</v>
      </c>
    </row>
    <row r="49" spans="1:16" ht="13.2" x14ac:dyDescent="0.2">
      <c r="A49" s="160">
        <v>2</v>
      </c>
      <c r="B49" s="157" t="s">
        <v>56</v>
      </c>
      <c r="C49" s="163" t="s">
        <v>284</v>
      </c>
      <c r="D49" s="157" t="s">
        <v>70</v>
      </c>
      <c r="E49" s="162">
        <v>36.4</v>
      </c>
      <c r="F49" s="133"/>
      <c r="G49" s="134"/>
      <c r="H49" s="135">
        <f t="shared" ref="H49:H51" si="27">ROUND(F49*G49,2)</f>
        <v>0</v>
      </c>
      <c r="I49" s="134"/>
      <c r="J49" s="134"/>
      <c r="K49" s="134">
        <f>ROUND(H49+J49+I49,2)</f>
        <v>0</v>
      </c>
      <c r="L49" s="105">
        <f t="shared" si="22"/>
        <v>0</v>
      </c>
      <c r="M49" s="87">
        <f t="shared" si="23"/>
        <v>0</v>
      </c>
      <c r="N49" s="87">
        <f t="shared" si="24"/>
        <v>0</v>
      </c>
      <c r="O49" s="87">
        <f t="shared" si="25"/>
        <v>0</v>
      </c>
      <c r="P49" s="88">
        <f t="shared" si="26"/>
        <v>0</v>
      </c>
    </row>
    <row r="50" spans="1:16" ht="26.4" x14ac:dyDescent="0.2">
      <c r="A50" s="160">
        <v>3</v>
      </c>
      <c r="B50" s="157" t="s">
        <v>56</v>
      </c>
      <c r="C50" s="163" t="s">
        <v>285</v>
      </c>
      <c r="D50" s="157" t="s">
        <v>70</v>
      </c>
      <c r="E50" s="162">
        <f>E49</f>
        <v>36.4</v>
      </c>
      <c r="F50" s="133"/>
      <c r="G50" s="134"/>
      <c r="H50" s="135">
        <f t="shared" si="27"/>
        <v>0</v>
      </c>
      <c r="I50" s="134"/>
      <c r="J50" s="134"/>
      <c r="K50" s="134">
        <f>ROUND(H50+J50+I50,2)</f>
        <v>0</v>
      </c>
      <c r="L50" s="105">
        <f t="shared" si="22"/>
        <v>0</v>
      </c>
      <c r="M50" s="87">
        <f t="shared" si="23"/>
        <v>0</v>
      </c>
      <c r="N50" s="87">
        <f t="shared" si="24"/>
        <v>0</v>
      </c>
      <c r="O50" s="87">
        <f t="shared" si="25"/>
        <v>0</v>
      </c>
      <c r="P50" s="88">
        <f t="shared" si="26"/>
        <v>0</v>
      </c>
    </row>
    <row r="51" spans="1:16" ht="26.4" x14ac:dyDescent="0.2">
      <c r="A51" s="160">
        <v>4</v>
      </c>
      <c r="B51" s="157" t="s">
        <v>56</v>
      </c>
      <c r="C51" s="163" t="s">
        <v>286</v>
      </c>
      <c r="D51" s="157" t="s">
        <v>70</v>
      </c>
      <c r="E51" s="162">
        <f>E49</f>
        <v>36.4</v>
      </c>
      <c r="F51" s="133"/>
      <c r="G51" s="134"/>
      <c r="H51" s="135">
        <f t="shared" si="27"/>
        <v>0</v>
      </c>
      <c r="I51" s="134"/>
      <c r="J51" s="134"/>
      <c r="K51" s="134">
        <f>ROUND(H51+J51+I51,2)</f>
        <v>0</v>
      </c>
      <c r="L51" s="105">
        <f t="shared" si="22"/>
        <v>0</v>
      </c>
      <c r="M51" s="87">
        <f t="shared" si="23"/>
        <v>0</v>
      </c>
      <c r="N51" s="87">
        <f t="shared" si="24"/>
        <v>0</v>
      </c>
      <c r="O51" s="87">
        <f t="shared" si="25"/>
        <v>0</v>
      </c>
      <c r="P51" s="88">
        <f t="shared" si="26"/>
        <v>0</v>
      </c>
    </row>
    <row r="52" spans="1:16" ht="13.2" x14ac:dyDescent="0.2">
      <c r="A52" s="160">
        <v>5</v>
      </c>
      <c r="B52" s="157"/>
      <c r="C52" s="164" t="s">
        <v>302</v>
      </c>
      <c r="D52" s="157" t="s">
        <v>157</v>
      </c>
      <c r="E52" s="162">
        <f>E51*0.12</f>
        <v>4.3679999999999994</v>
      </c>
      <c r="F52" s="133"/>
      <c r="G52" s="134"/>
      <c r="H52" s="135"/>
      <c r="I52" s="134"/>
      <c r="J52" s="134"/>
      <c r="K52" s="134">
        <f t="shared" ref="K52:K53" si="28">ROUND(H52+J52+I52,2)</f>
        <v>0</v>
      </c>
      <c r="L52" s="105">
        <f t="shared" si="22"/>
        <v>0</v>
      </c>
      <c r="M52" s="87">
        <f t="shared" si="23"/>
        <v>0</v>
      </c>
      <c r="N52" s="87">
        <f t="shared" si="24"/>
        <v>0</v>
      </c>
      <c r="O52" s="87">
        <f t="shared" si="25"/>
        <v>0</v>
      </c>
      <c r="P52" s="88">
        <f t="shared" si="26"/>
        <v>0</v>
      </c>
    </row>
    <row r="53" spans="1:16" ht="26.4" x14ac:dyDescent="0.2">
      <c r="A53" s="160">
        <v>6</v>
      </c>
      <c r="B53" s="157"/>
      <c r="C53" s="164" t="s">
        <v>303</v>
      </c>
      <c r="D53" s="157" t="s">
        <v>162</v>
      </c>
      <c r="E53" s="162">
        <f>E51*5</f>
        <v>182</v>
      </c>
      <c r="F53" s="133"/>
      <c r="G53" s="134"/>
      <c r="H53" s="135"/>
      <c r="I53" s="134"/>
      <c r="J53" s="134"/>
      <c r="K53" s="134">
        <f t="shared" si="28"/>
        <v>0</v>
      </c>
      <c r="L53" s="105">
        <f t="shared" si="22"/>
        <v>0</v>
      </c>
      <c r="M53" s="87">
        <f t="shared" si="23"/>
        <v>0</v>
      </c>
      <c r="N53" s="87">
        <f t="shared" si="24"/>
        <v>0</v>
      </c>
      <c r="O53" s="87">
        <f t="shared" si="25"/>
        <v>0</v>
      </c>
      <c r="P53" s="88">
        <f t="shared" si="26"/>
        <v>0</v>
      </c>
    </row>
    <row r="54" spans="1:16" ht="13.2" x14ac:dyDescent="0.2">
      <c r="A54" s="160">
        <v>7</v>
      </c>
      <c r="B54" s="157" t="s">
        <v>56</v>
      </c>
      <c r="C54" s="163" t="s">
        <v>287</v>
      </c>
      <c r="D54" s="157" t="s">
        <v>70</v>
      </c>
      <c r="E54" s="162">
        <f>E51</f>
        <v>36.4</v>
      </c>
      <c r="F54" s="133"/>
      <c r="G54" s="134"/>
      <c r="H54" s="135">
        <f t="shared" ref="H54" si="29">ROUND(F54*G54,2)</f>
        <v>0</v>
      </c>
      <c r="I54" s="134"/>
      <c r="J54" s="134"/>
      <c r="K54" s="134">
        <f>ROUND(H54+J54+I54,2)</f>
        <v>0</v>
      </c>
      <c r="L54" s="108"/>
      <c r="M54" s="99"/>
      <c r="N54" s="99"/>
      <c r="O54" s="99"/>
      <c r="P54" s="100"/>
    </row>
    <row r="55" spans="1:16" ht="13.2" x14ac:dyDescent="0.2">
      <c r="A55" s="160">
        <v>8</v>
      </c>
      <c r="B55" s="157"/>
      <c r="C55" s="164" t="s">
        <v>297</v>
      </c>
      <c r="D55" s="157" t="s">
        <v>289</v>
      </c>
      <c r="E55" s="162">
        <f>ROUND(E54/6,2)</f>
        <v>6.07</v>
      </c>
      <c r="F55" s="133"/>
      <c r="G55" s="134"/>
      <c r="H55" s="135"/>
      <c r="I55" s="134"/>
      <c r="J55" s="134"/>
      <c r="K55" s="134">
        <f t="shared" ref="K55:K65" si="30">ROUND(H55+J55+I55,2)</f>
        <v>0</v>
      </c>
      <c r="L55" s="105">
        <f>ROUND(E55*F55,2)</f>
        <v>0</v>
      </c>
      <c r="M55" s="87">
        <f>ROUND(E55*H55,2)</f>
        <v>0</v>
      </c>
      <c r="N55" s="87">
        <f>ROUND(E55*I55,2)</f>
        <v>0</v>
      </c>
      <c r="O55" s="87">
        <f>ROUND(E55*J55,2)</f>
        <v>0</v>
      </c>
      <c r="P55" s="88">
        <f>ROUND(O55+N55+M55,2)</f>
        <v>0</v>
      </c>
    </row>
    <row r="56" spans="1:16" ht="13.2" x14ac:dyDescent="0.2">
      <c r="A56" s="160">
        <v>9</v>
      </c>
      <c r="B56" s="157"/>
      <c r="C56" s="164" t="s">
        <v>298</v>
      </c>
      <c r="D56" s="157" t="s">
        <v>62</v>
      </c>
      <c r="E56" s="162">
        <f>ROUND(E54*5.5,0)</f>
        <v>200</v>
      </c>
      <c r="F56" s="133"/>
      <c r="G56" s="134"/>
      <c r="H56" s="135"/>
      <c r="I56" s="134"/>
      <c r="J56" s="134"/>
      <c r="K56" s="134">
        <f t="shared" si="30"/>
        <v>0</v>
      </c>
      <c r="L56" s="105">
        <f>ROUND(E56*F56,2)</f>
        <v>0</v>
      </c>
      <c r="M56" s="87">
        <f>ROUND(E56*H56,2)</f>
        <v>0</v>
      </c>
      <c r="N56" s="87">
        <f>ROUND(E56*I56,2)</f>
        <v>0</v>
      </c>
      <c r="O56" s="87">
        <f>ROUND(E56*J56,2)</f>
        <v>0</v>
      </c>
      <c r="P56" s="88">
        <f>ROUND(O56+N56+M56,2)</f>
        <v>0</v>
      </c>
    </row>
    <row r="57" spans="1:16" ht="13.2" x14ac:dyDescent="0.2">
      <c r="A57" s="160">
        <v>10</v>
      </c>
      <c r="B57" s="157"/>
      <c r="C57" s="164" t="s">
        <v>291</v>
      </c>
      <c r="D57" s="157" t="s">
        <v>62</v>
      </c>
      <c r="E57" s="162">
        <f>E56</f>
        <v>200</v>
      </c>
      <c r="F57" s="133"/>
      <c r="G57" s="134"/>
      <c r="H57" s="135"/>
      <c r="I57" s="134"/>
      <c r="J57" s="134"/>
      <c r="K57" s="134">
        <f t="shared" si="30"/>
        <v>0</v>
      </c>
      <c r="L57" s="105">
        <f>ROUND(E57*F57,2)</f>
        <v>0</v>
      </c>
      <c r="M57" s="87">
        <f>ROUND(E57*H57,2)</f>
        <v>0</v>
      </c>
      <c r="N57" s="87">
        <f>ROUND(E57*I57,2)</f>
        <v>0</v>
      </c>
      <c r="O57" s="87">
        <f>ROUND(E57*J57,2)</f>
        <v>0</v>
      </c>
      <c r="P57" s="88">
        <f>ROUND(O57+N57+M57,2)</f>
        <v>0</v>
      </c>
    </row>
    <row r="58" spans="1:16" ht="26.4" x14ac:dyDescent="0.2">
      <c r="A58" s="160">
        <v>11</v>
      </c>
      <c r="B58" s="157"/>
      <c r="C58" s="164" t="s">
        <v>292</v>
      </c>
      <c r="D58" s="157" t="s">
        <v>70</v>
      </c>
      <c r="E58" s="162">
        <f>E54*1.02</f>
        <v>37.128</v>
      </c>
      <c r="F58" s="133"/>
      <c r="G58" s="134"/>
      <c r="H58" s="135"/>
      <c r="I58" s="134"/>
      <c r="J58" s="134"/>
      <c r="K58" s="134">
        <f t="shared" si="30"/>
        <v>0</v>
      </c>
      <c r="L58" s="105">
        <f>ROUND(E58*F58,2)</f>
        <v>0</v>
      </c>
      <c r="M58" s="87">
        <f>ROUND(E58*H58,2)</f>
        <v>0</v>
      </c>
      <c r="N58" s="87">
        <f>ROUND(E58*I58,2)</f>
        <v>0</v>
      </c>
      <c r="O58" s="87">
        <f>ROUND(E58*J58,2)</f>
        <v>0</v>
      </c>
      <c r="P58" s="88">
        <f>ROUND(O58+N58+M58,2)</f>
        <v>0</v>
      </c>
    </row>
    <row r="59" spans="1:16" ht="13.2" x14ac:dyDescent="0.2">
      <c r="A59" s="160">
        <v>12</v>
      </c>
      <c r="B59" s="157" t="s">
        <v>56</v>
      </c>
      <c r="C59" s="163" t="s">
        <v>177</v>
      </c>
      <c r="D59" s="157" t="s">
        <v>70</v>
      </c>
      <c r="E59" s="162">
        <f>E54</f>
        <v>36.4</v>
      </c>
      <c r="F59" s="133"/>
      <c r="G59" s="134"/>
      <c r="H59" s="135">
        <f t="shared" ref="H59" si="31">ROUND(F59*G59,2)</f>
        <v>0</v>
      </c>
      <c r="I59" s="134"/>
      <c r="J59" s="134"/>
      <c r="K59" s="134">
        <f t="shared" si="30"/>
        <v>0</v>
      </c>
      <c r="L59" s="105">
        <f t="shared" ref="L59:L60" si="32">ROUND(E59*F59,2)</f>
        <v>0</v>
      </c>
      <c r="M59" s="87">
        <f t="shared" ref="M59:M60" si="33">ROUND(E59*H59,2)</f>
        <v>0</v>
      </c>
      <c r="N59" s="87">
        <f t="shared" ref="N59:N60" si="34">ROUND(E59*I59,2)</f>
        <v>0</v>
      </c>
      <c r="O59" s="87">
        <f t="shared" ref="O59:O60" si="35">ROUND(E59*J59,2)</f>
        <v>0</v>
      </c>
      <c r="P59" s="88">
        <f t="shared" ref="P59:P60" si="36">ROUND(O59+N59+M59,2)</f>
        <v>0</v>
      </c>
    </row>
    <row r="60" spans="1:16" ht="13.2" x14ac:dyDescent="0.2">
      <c r="A60" s="160">
        <v>13</v>
      </c>
      <c r="B60" s="157"/>
      <c r="C60" s="164" t="s">
        <v>160</v>
      </c>
      <c r="D60" s="157" t="s">
        <v>157</v>
      </c>
      <c r="E60" s="162">
        <f>E59*0.12</f>
        <v>4.3679999999999994</v>
      </c>
      <c r="F60" s="133"/>
      <c r="G60" s="134"/>
      <c r="H60" s="135"/>
      <c r="I60" s="134"/>
      <c r="J60" s="134"/>
      <c r="K60" s="134">
        <f t="shared" si="30"/>
        <v>0</v>
      </c>
      <c r="L60" s="105">
        <f t="shared" si="32"/>
        <v>0</v>
      </c>
      <c r="M60" s="87">
        <f t="shared" si="33"/>
        <v>0</v>
      </c>
      <c r="N60" s="87">
        <f t="shared" si="34"/>
        <v>0</v>
      </c>
      <c r="O60" s="87">
        <f t="shared" si="35"/>
        <v>0</v>
      </c>
      <c r="P60" s="88">
        <f t="shared" si="36"/>
        <v>0</v>
      </c>
    </row>
    <row r="61" spans="1:16" ht="13.2" x14ac:dyDescent="0.2">
      <c r="A61" s="160">
        <v>14</v>
      </c>
      <c r="B61" s="157"/>
      <c r="C61" s="164" t="s">
        <v>299</v>
      </c>
      <c r="D61" s="157" t="s">
        <v>165</v>
      </c>
      <c r="E61" s="162">
        <f>E59*4.5</f>
        <v>163.79999999999998</v>
      </c>
      <c r="F61" s="133"/>
      <c r="G61" s="134"/>
      <c r="H61" s="135"/>
      <c r="I61" s="134"/>
      <c r="J61" s="134"/>
      <c r="K61" s="134">
        <f t="shared" si="30"/>
        <v>0</v>
      </c>
      <c r="L61" s="105">
        <f>ROUND(E61*F61,2)</f>
        <v>0</v>
      </c>
      <c r="M61" s="87">
        <f>ROUND(E61*H61,2)</f>
        <v>0</v>
      </c>
      <c r="N61" s="87">
        <f>ROUND(E61*I61,2)</f>
        <v>0</v>
      </c>
      <c r="O61" s="87">
        <f>ROUND(E61*J61,2)</f>
        <v>0</v>
      </c>
      <c r="P61" s="88">
        <f>ROUND(O61+N61+M61,2)</f>
        <v>0</v>
      </c>
    </row>
    <row r="62" spans="1:16" ht="13.2" x14ac:dyDescent="0.2">
      <c r="A62" s="160">
        <v>15</v>
      </c>
      <c r="B62" s="157"/>
      <c r="C62" s="164" t="s">
        <v>170</v>
      </c>
      <c r="D62" s="157" t="s">
        <v>70</v>
      </c>
      <c r="E62" s="162">
        <f>E59*1.2</f>
        <v>43.68</v>
      </c>
      <c r="F62" s="133"/>
      <c r="G62" s="134"/>
      <c r="H62" s="135"/>
      <c r="I62" s="134"/>
      <c r="J62" s="134"/>
      <c r="K62" s="134">
        <f t="shared" si="30"/>
        <v>0</v>
      </c>
      <c r="L62" s="105">
        <f t="shared" ref="L62:L73" si="37">ROUND(E62*F62,2)</f>
        <v>0</v>
      </c>
      <c r="M62" s="87">
        <f t="shared" ref="M62:M73" si="38">ROUND(E62*H62,2)</f>
        <v>0</v>
      </c>
      <c r="N62" s="87">
        <f t="shared" ref="N62:N73" si="39">ROUND(E62*I62,2)</f>
        <v>0</v>
      </c>
      <c r="O62" s="87">
        <f t="shared" ref="O62:O73" si="40">ROUND(E62*J62,2)</f>
        <v>0</v>
      </c>
      <c r="P62" s="88">
        <f t="shared" ref="P62:P73" si="41">ROUND(O62+N62+M62,2)</f>
        <v>0</v>
      </c>
    </row>
    <row r="63" spans="1:16" ht="13.2" x14ac:dyDescent="0.2">
      <c r="A63" s="160">
        <v>16</v>
      </c>
      <c r="B63" s="157" t="s">
        <v>56</v>
      </c>
      <c r="C63" s="163" t="s">
        <v>248</v>
      </c>
      <c r="D63" s="157" t="s">
        <v>70</v>
      </c>
      <c r="E63" s="162">
        <v>41.1</v>
      </c>
      <c r="F63" s="133"/>
      <c r="G63" s="134"/>
      <c r="H63" s="135">
        <f t="shared" ref="H63" si="42">ROUND(F63*G63,2)</f>
        <v>0</v>
      </c>
      <c r="I63" s="134"/>
      <c r="J63" s="134"/>
      <c r="K63" s="134">
        <f t="shared" si="30"/>
        <v>0</v>
      </c>
      <c r="L63" s="105">
        <f t="shared" si="37"/>
        <v>0</v>
      </c>
      <c r="M63" s="87">
        <f t="shared" si="38"/>
        <v>0</v>
      </c>
      <c r="N63" s="87">
        <f t="shared" si="39"/>
        <v>0</v>
      </c>
      <c r="O63" s="87">
        <f t="shared" si="40"/>
        <v>0</v>
      </c>
      <c r="P63" s="88">
        <f t="shared" si="41"/>
        <v>0</v>
      </c>
    </row>
    <row r="64" spans="1:16" ht="13.2" x14ac:dyDescent="0.2">
      <c r="A64" s="160">
        <v>17</v>
      </c>
      <c r="B64" s="157"/>
      <c r="C64" s="164" t="s">
        <v>255</v>
      </c>
      <c r="D64" s="157" t="s">
        <v>157</v>
      </c>
      <c r="E64" s="162">
        <f>E63*0.15</f>
        <v>6.165</v>
      </c>
      <c r="F64" s="133"/>
      <c r="G64" s="134"/>
      <c r="H64" s="135"/>
      <c r="I64" s="134"/>
      <c r="J64" s="134"/>
      <c r="K64" s="134">
        <f t="shared" si="30"/>
        <v>0</v>
      </c>
      <c r="L64" s="105">
        <f t="shared" si="37"/>
        <v>0</v>
      </c>
      <c r="M64" s="87">
        <f t="shared" si="38"/>
        <v>0</v>
      </c>
      <c r="N64" s="87">
        <f t="shared" si="39"/>
        <v>0</v>
      </c>
      <c r="O64" s="87">
        <f t="shared" si="40"/>
        <v>0</v>
      </c>
      <c r="P64" s="88">
        <f t="shared" si="41"/>
        <v>0</v>
      </c>
    </row>
    <row r="65" spans="1:16" ht="26.4" x14ac:dyDescent="0.2">
      <c r="A65" s="160">
        <v>18</v>
      </c>
      <c r="B65" s="157"/>
      <c r="C65" s="164" t="s">
        <v>250</v>
      </c>
      <c r="D65" s="157" t="s">
        <v>165</v>
      </c>
      <c r="E65" s="162">
        <f>E63*4</f>
        <v>164.4</v>
      </c>
      <c r="F65" s="133"/>
      <c r="G65" s="134"/>
      <c r="H65" s="135"/>
      <c r="I65" s="134"/>
      <c r="J65" s="134"/>
      <c r="K65" s="134">
        <f t="shared" si="30"/>
        <v>0</v>
      </c>
      <c r="L65" s="105">
        <f t="shared" si="37"/>
        <v>0</v>
      </c>
      <c r="M65" s="87">
        <f t="shared" si="38"/>
        <v>0</v>
      </c>
      <c r="N65" s="87">
        <f t="shared" si="39"/>
        <v>0</v>
      </c>
      <c r="O65" s="87">
        <f t="shared" si="40"/>
        <v>0</v>
      </c>
      <c r="P65" s="88">
        <f t="shared" si="41"/>
        <v>0</v>
      </c>
    </row>
    <row r="66" spans="1:16" ht="39.6" x14ac:dyDescent="0.2">
      <c r="A66" s="165"/>
      <c r="B66" s="166"/>
      <c r="C66" s="167" t="s">
        <v>304</v>
      </c>
      <c r="D66" s="168"/>
      <c r="E66" s="169"/>
      <c r="F66" s="170"/>
      <c r="G66" s="171"/>
      <c r="H66" s="171"/>
      <c r="I66" s="171"/>
      <c r="J66" s="171"/>
      <c r="K66" s="171"/>
      <c r="L66" s="105"/>
      <c r="M66" s="87"/>
      <c r="N66" s="87"/>
      <c r="O66" s="87"/>
      <c r="P66" s="88"/>
    </row>
    <row r="67" spans="1:16" ht="39.6" x14ac:dyDescent="0.2">
      <c r="A67" s="160">
        <v>1</v>
      </c>
      <c r="B67" s="157" t="s">
        <v>56</v>
      </c>
      <c r="C67" s="163" t="s">
        <v>283</v>
      </c>
      <c r="D67" s="157" t="s">
        <v>58</v>
      </c>
      <c r="E67" s="162">
        <v>81.668000000000006</v>
      </c>
      <c r="F67" s="133"/>
      <c r="G67" s="134"/>
      <c r="H67" s="135">
        <f>ROUND(F67*G67,2)</f>
        <v>0</v>
      </c>
      <c r="I67" s="134"/>
      <c r="J67" s="134"/>
      <c r="K67" s="134">
        <f>ROUND(H67+J67+I67,2)</f>
        <v>0</v>
      </c>
      <c r="L67" s="105">
        <f t="shared" si="37"/>
        <v>0</v>
      </c>
      <c r="M67" s="87">
        <f t="shared" si="38"/>
        <v>0</v>
      </c>
      <c r="N67" s="87">
        <f t="shared" si="39"/>
        <v>0</v>
      </c>
      <c r="O67" s="87">
        <f t="shared" si="40"/>
        <v>0</v>
      </c>
      <c r="P67" s="88">
        <f t="shared" si="41"/>
        <v>0</v>
      </c>
    </row>
    <row r="68" spans="1:16" ht="13.2" x14ac:dyDescent="0.2">
      <c r="A68" s="160">
        <v>2</v>
      </c>
      <c r="B68" s="157" t="s">
        <v>56</v>
      </c>
      <c r="C68" s="163" t="s">
        <v>284</v>
      </c>
      <c r="D68" s="157" t="s">
        <v>70</v>
      </c>
      <c r="E68" s="162">
        <v>154</v>
      </c>
      <c r="F68" s="133"/>
      <c r="G68" s="134"/>
      <c r="H68" s="135">
        <f t="shared" ref="H68:H70" si="43">ROUND(F68*G68,2)</f>
        <v>0</v>
      </c>
      <c r="I68" s="134"/>
      <c r="J68" s="134"/>
      <c r="K68" s="134">
        <f>ROUND(H68+J68+I68,2)</f>
        <v>0</v>
      </c>
      <c r="L68" s="105">
        <f t="shared" si="37"/>
        <v>0</v>
      </c>
      <c r="M68" s="87">
        <f t="shared" si="38"/>
        <v>0</v>
      </c>
      <c r="N68" s="87">
        <f t="shared" si="39"/>
        <v>0</v>
      </c>
      <c r="O68" s="87">
        <f t="shared" si="40"/>
        <v>0</v>
      </c>
      <c r="P68" s="88">
        <f t="shared" si="41"/>
        <v>0</v>
      </c>
    </row>
    <row r="69" spans="1:16" ht="26.4" x14ac:dyDescent="0.2">
      <c r="A69" s="160">
        <v>3</v>
      </c>
      <c r="B69" s="157" t="s">
        <v>56</v>
      </c>
      <c r="C69" s="163" t="s">
        <v>285</v>
      </c>
      <c r="D69" s="157" t="s">
        <v>70</v>
      </c>
      <c r="E69" s="162">
        <f>E68</f>
        <v>154</v>
      </c>
      <c r="F69" s="133"/>
      <c r="G69" s="134"/>
      <c r="H69" s="135">
        <f t="shared" si="43"/>
        <v>0</v>
      </c>
      <c r="I69" s="134"/>
      <c r="J69" s="134"/>
      <c r="K69" s="134">
        <f>ROUND(H69+J69+I69,2)</f>
        <v>0</v>
      </c>
      <c r="L69" s="105">
        <f t="shared" si="37"/>
        <v>0</v>
      </c>
      <c r="M69" s="87">
        <f t="shared" si="38"/>
        <v>0</v>
      </c>
      <c r="N69" s="87">
        <f t="shared" si="39"/>
        <v>0</v>
      </c>
      <c r="O69" s="87">
        <f t="shared" si="40"/>
        <v>0</v>
      </c>
      <c r="P69" s="88">
        <f t="shared" si="41"/>
        <v>0</v>
      </c>
    </row>
    <row r="70" spans="1:16" ht="26.4" x14ac:dyDescent="0.2">
      <c r="A70" s="160">
        <v>4</v>
      </c>
      <c r="B70" s="157" t="s">
        <v>56</v>
      </c>
      <c r="C70" s="163" t="s">
        <v>286</v>
      </c>
      <c r="D70" s="157" t="s">
        <v>70</v>
      </c>
      <c r="E70" s="162">
        <f>E68</f>
        <v>154</v>
      </c>
      <c r="F70" s="133"/>
      <c r="G70" s="134"/>
      <c r="H70" s="135">
        <f t="shared" si="43"/>
        <v>0</v>
      </c>
      <c r="I70" s="134"/>
      <c r="J70" s="134"/>
      <c r="K70" s="134">
        <f>ROUND(H70+J70+I70,2)</f>
        <v>0</v>
      </c>
      <c r="L70" s="105">
        <f t="shared" si="37"/>
        <v>0</v>
      </c>
      <c r="M70" s="87">
        <f t="shared" si="38"/>
        <v>0</v>
      </c>
      <c r="N70" s="87">
        <f t="shared" si="39"/>
        <v>0</v>
      </c>
      <c r="O70" s="87">
        <f t="shared" si="40"/>
        <v>0</v>
      </c>
      <c r="P70" s="88">
        <f t="shared" si="41"/>
        <v>0</v>
      </c>
    </row>
    <row r="71" spans="1:16" ht="13.2" x14ac:dyDescent="0.2">
      <c r="A71" s="160">
        <v>5</v>
      </c>
      <c r="B71" s="157"/>
      <c r="C71" s="164" t="s">
        <v>160</v>
      </c>
      <c r="D71" s="157" t="s">
        <v>157</v>
      </c>
      <c r="E71" s="162">
        <f>E70*0.12</f>
        <v>18.48</v>
      </c>
      <c r="F71" s="133"/>
      <c r="G71" s="134"/>
      <c r="H71" s="135"/>
      <c r="I71" s="134"/>
      <c r="J71" s="134"/>
      <c r="K71" s="134">
        <f t="shared" ref="K71:K72" si="44">ROUND(H71+J71+I71,2)</f>
        <v>0</v>
      </c>
      <c r="L71" s="105">
        <f t="shared" si="37"/>
        <v>0</v>
      </c>
      <c r="M71" s="87">
        <f t="shared" si="38"/>
        <v>0</v>
      </c>
      <c r="N71" s="87">
        <f t="shared" si="39"/>
        <v>0</v>
      </c>
      <c r="O71" s="87">
        <f t="shared" si="40"/>
        <v>0</v>
      </c>
      <c r="P71" s="88">
        <f t="shared" si="41"/>
        <v>0</v>
      </c>
    </row>
    <row r="72" spans="1:16" ht="26.4" x14ac:dyDescent="0.2">
      <c r="A72" s="160">
        <v>6</v>
      </c>
      <c r="B72" s="157"/>
      <c r="C72" s="164" t="s">
        <v>161</v>
      </c>
      <c r="D72" s="157" t="s">
        <v>162</v>
      </c>
      <c r="E72" s="162">
        <f>E70*5</f>
        <v>770</v>
      </c>
      <c r="F72" s="133"/>
      <c r="G72" s="134"/>
      <c r="H72" s="135"/>
      <c r="I72" s="134"/>
      <c r="J72" s="134"/>
      <c r="K72" s="134">
        <f t="shared" si="44"/>
        <v>0</v>
      </c>
      <c r="L72" s="105">
        <f t="shared" si="37"/>
        <v>0</v>
      </c>
      <c r="M72" s="87">
        <f t="shared" si="38"/>
        <v>0</v>
      </c>
      <c r="N72" s="87">
        <f t="shared" si="39"/>
        <v>0</v>
      </c>
      <c r="O72" s="87">
        <f t="shared" si="40"/>
        <v>0</v>
      </c>
      <c r="P72" s="88">
        <f t="shared" si="41"/>
        <v>0</v>
      </c>
    </row>
    <row r="73" spans="1:16" ht="13.2" x14ac:dyDescent="0.2">
      <c r="A73" s="160">
        <v>7</v>
      </c>
      <c r="B73" s="157" t="s">
        <v>56</v>
      </c>
      <c r="C73" s="163" t="s">
        <v>287</v>
      </c>
      <c r="D73" s="157" t="s">
        <v>70</v>
      </c>
      <c r="E73" s="162">
        <f>E70</f>
        <v>154</v>
      </c>
      <c r="F73" s="133"/>
      <c r="G73" s="134"/>
      <c r="H73" s="135">
        <f t="shared" ref="H73" si="45">ROUND(F73*G73,2)</f>
        <v>0</v>
      </c>
      <c r="I73" s="134"/>
      <c r="J73" s="134"/>
      <c r="K73" s="134">
        <f>ROUND(H73+J73+I73,2)</f>
        <v>0</v>
      </c>
      <c r="L73" s="105">
        <f t="shared" si="37"/>
        <v>0</v>
      </c>
      <c r="M73" s="87">
        <f t="shared" si="38"/>
        <v>0</v>
      </c>
      <c r="N73" s="87">
        <f t="shared" si="39"/>
        <v>0</v>
      </c>
      <c r="O73" s="87">
        <f t="shared" si="40"/>
        <v>0</v>
      </c>
      <c r="P73" s="88">
        <f t="shared" si="41"/>
        <v>0</v>
      </c>
    </row>
    <row r="74" spans="1:16" ht="13.2" x14ac:dyDescent="0.2">
      <c r="A74" s="160">
        <v>8</v>
      </c>
      <c r="B74" s="157"/>
      <c r="C74" s="164" t="s">
        <v>305</v>
      </c>
      <c r="D74" s="157" t="s">
        <v>289</v>
      </c>
      <c r="E74" s="162">
        <f>ROUND(E73/6,2)</f>
        <v>25.67</v>
      </c>
      <c r="F74" s="133"/>
      <c r="G74" s="134"/>
      <c r="H74" s="135"/>
      <c r="I74" s="134"/>
      <c r="J74" s="134"/>
      <c r="K74" s="134">
        <f t="shared" ref="K74:K86" si="46">ROUND(H74+J74+I74,2)</f>
        <v>0</v>
      </c>
      <c r="L74" s="108"/>
      <c r="M74" s="99"/>
      <c r="N74" s="99"/>
      <c r="O74" s="99"/>
      <c r="P74" s="100"/>
    </row>
    <row r="75" spans="1:16" ht="13.2" x14ac:dyDescent="0.2">
      <c r="A75" s="160">
        <v>9</v>
      </c>
      <c r="B75" s="157"/>
      <c r="C75" s="164" t="s">
        <v>306</v>
      </c>
      <c r="D75" s="157" t="s">
        <v>62</v>
      </c>
      <c r="E75" s="162">
        <f>ROUND(E73*5.5,0)</f>
        <v>847</v>
      </c>
      <c r="F75" s="133"/>
      <c r="G75" s="134"/>
      <c r="H75" s="135"/>
      <c r="I75" s="134"/>
      <c r="J75" s="134"/>
      <c r="K75" s="134">
        <f t="shared" si="46"/>
        <v>0</v>
      </c>
      <c r="L75" s="105">
        <f>ROUND(E75*F75,2)</f>
        <v>0</v>
      </c>
      <c r="M75" s="87">
        <f>ROUND(E75*H75,2)</f>
        <v>0</v>
      </c>
      <c r="N75" s="87">
        <f>ROUND(E75*I75,2)</f>
        <v>0</v>
      </c>
      <c r="O75" s="87">
        <f>ROUND(E75*J75,2)</f>
        <v>0</v>
      </c>
      <c r="P75" s="88">
        <f>ROUND(O75+N75+M75,2)</f>
        <v>0</v>
      </c>
    </row>
    <row r="76" spans="1:16" ht="13.2" x14ac:dyDescent="0.2">
      <c r="A76" s="160">
        <v>10</v>
      </c>
      <c r="B76" s="157"/>
      <c r="C76" s="164" t="s">
        <v>291</v>
      </c>
      <c r="D76" s="157" t="s">
        <v>62</v>
      </c>
      <c r="E76" s="162">
        <f>E75</f>
        <v>847</v>
      </c>
      <c r="F76" s="133"/>
      <c r="G76" s="134"/>
      <c r="H76" s="135"/>
      <c r="I76" s="134"/>
      <c r="J76" s="134"/>
      <c r="K76" s="134">
        <f t="shared" si="46"/>
        <v>0</v>
      </c>
      <c r="L76" s="105">
        <f>ROUND(E76*F76,2)</f>
        <v>0</v>
      </c>
      <c r="M76" s="87">
        <f>ROUND(E76*H76,2)</f>
        <v>0</v>
      </c>
      <c r="N76" s="87">
        <f>ROUND(E76*I76,2)</f>
        <v>0</v>
      </c>
      <c r="O76" s="87">
        <f>ROUND(E76*J76,2)</f>
        <v>0</v>
      </c>
      <c r="P76" s="88">
        <f>ROUND(O76+N76+M76,2)</f>
        <v>0</v>
      </c>
    </row>
    <row r="77" spans="1:16" ht="26.4" x14ac:dyDescent="0.2">
      <c r="A77" s="160">
        <v>11</v>
      </c>
      <c r="B77" s="157"/>
      <c r="C77" s="164" t="s">
        <v>292</v>
      </c>
      <c r="D77" s="157" t="s">
        <v>70</v>
      </c>
      <c r="E77" s="162">
        <f>E73*1.02</f>
        <v>157.08000000000001</v>
      </c>
      <c r="F77" s="133"/>
      <c r="G77" s="134"/>
      <c r="H77" s="135"/>
      <c r="I77" s="134"/>
      <c r="J77" s="134"/>
      <c r="K77" s="134">
        <f t="shared" si="46"/>
        <v>0</v>
      </c>
      <c r="L77" s="105">
        <f>ROUND(E77*F77,2)</f>
        <v>0</v>
      </c>
      <c r="M77" s="87">
        <f>ROUND(E77*H77,2)</f>
        <v>0</v>
      </c>
      <c r="N77" s="87">
        <f>ROUND(E77*I77,2)</f>
        <v>0</v>
      </c>
      <c r="O77" s="87">
        <f>ROUND(E77*J77,2)</f>
        <v>0</v>
      </c>
      <c r="P77" s="88">
        <f>ROUND(O77+N77+M77,2)</f>
        <v>0</v>
      </c>
    </row>
    <row r="78" spans="1:16" ht="13.2" x14ac:dyDescent="0.2">
      <c r="A78" s="160">
        <v>12</v>
      </c>
      <c r="B78" s="157" t="s">
        <v>56</v>
      </c>
      <c r="C78" s="163" t="s">
        <v>177</v>
      </c>
      <c r="D78" s="157" t="s">
        <v>70</v>
      </c>
      <c r="E78" s="162">
        <f>E73</f>
        <v>154</v>
      </c>
      <c r="F78" s="133"/>
      <c r="G78" s="134"/>
      <c r="H78" s="135">
        <f t="shared" ref="H78" si="47">ROUND(F78*G78,2)</f>
        <v>0</v>
      </c>
      <c r="I78" s="134"/>
      <c r="J78" s="134"/>
      <c r="K78" s="134">
        <f t="shared" si="46"/>
        <v>0</v>
      </c>
      <c r="L78" s="105">
        <f>ROUND(E78*F78,2)</f>
        <v>0</v>
      </c>
      <c r="M78" s="87">
        <f>ROUND(E78*H78,2)</f>
        <v>0</v>
      </c>
      <c r="N78" s="87">
        <f>ROUND(E78*I78,2)</f>
        <v>0</v>
      </c>
      <c r="O78" s="87">
        <f>ROUND(E78*J78,2)</f>
        <v>0</v>
      </c>
      <c r="P78" s="88">
        <f>ROUND(O78+N78+M78,2)</f>
        <v>0</v>
      </c>
    </row>
    <row r="79" spans="1:16" ht="13.2" x14ac:dyDescent="0.2">
      <c r="A79" s="160">
        <v>13</v>
      </c>
      <c r="B79" s="157"/>
      <c r="C79" s="164" t="s">
        <v>160</v>
      </c>
      <c r="D79" s="157" t="s">
        <v>157</v>
      </c>
      <c r="E79" s="162">
        <f>E78*0.12</f>
        <v>18.48</v>
      </c>
      <c r="F79" s="133"/>
      <c r="G79" s="134"/>
      <c r="H79" s="135"/>
      <c r="I79" s="134"/>
      <c r="J79" s="134"/>
      <c r="K79" s="134">
        <f t="shared" si="46"/>
        <v>0</v>
      </c>
      <c r="L79" s="105">
        <f t="shared" ref="L79:L80" si="48">ROUND(E79*F79,2)</f>
        <v>0</v>
      </c>
      <c r="M79" s="87">
        <f t="shared" ref="M79:M80" si="49">ROUND(E79*H79,2)</f>
        <v>0</v>
      </c>
      <c r="N79" s="87">
        <f t="shared" ref="N79:N80" si="50">ROUND(E79*I79,2)</f>
        <v>0</v>
      </c>
      <c r="O79" s="87">
        <f t="shared" ref="O79:O80" si="51">ROUND(E79*J79,2)</f>
        <v>0</v>
      </c>
      <c r="P79" s="88">
        <f t="shared" ref="P79:P80" si="52">ROUND(O79+N79+M79,2)</f>
        <v>0</v>
      </c>
    </row>
    <row r="80" spans="1:16" ht="13.2" x14ac:dyDescent="0.2">
      <c r="A80" s="160">
        <v>14</v>
      </c>
      <c r="B80" s="157"/>
      <c r="C80" s="164" t="s">
        <v>307</v>
      </c>
      <c r="D80" s="157" t="s">
        <v>165</v>
      </c>
      <c r="E80" s="162">
        <f>E78*4.5</f>
        <v>693</v>
      </c>
      <c r="F80" s="133"/>
      <c r="G80" s="134"/>
      <c r="H80" s="135"/>
      <c r="I80" s="134"/>
      <c r="J80" s="134"/>
      <c r="K80" s="134">
        <f t="shared" si="46"/>
        <v>0</v>
      </c>
      <c r="L80" s="105">
        <f t="shared" si="48"/>
        <v>0</v>
      </c>
      <c r="M80" s="87">
        <f t="shared" si="49"/>
        <v>0</v>
      </c>
      <c r="N80" s="87">
        <f t="shared" si="50"/>
        <v>0</v>
      </c>
      <c r="O80" s="87">
        <f t="shared" si="51"/>
        <v>0</v>
      </c>
      <c r="P80" s="88">
        <f t="shared" si="52"/>
        <v>0</v>
      </c>
    </row>
    <row r="81" spans="1:16" ht="13.2" x14ac:dyDescent="0.2">
      <c r="A81" s="160">
        <v>15</v>
      </c>
      <c r="B81" s="157"/>
      <c r="C81" s="164" t="s">
        <v>170</v>
      </c>
      <c r="D81" s="157" t="s">
        <v>70</v>
      </c>
      <c r="E81" s="162">
        <f>E78*1.2</f>
        <v>184.79999999999998</v>
      </c>
      <c r="F81" s="133"/>
      <c r="G81" s="134"/>
      <c r="H81" s="135"/>
      <c r="I81" s="134"/>
      <c r="J81" s="134"/>
      <c r="K81" s="134">
        <f t="shared" si="46"/>
        <v>0</v>
      </c>
      <c r="L81" s="105">
        <f>ROUND(E81*F81,2)</f>
        <v>0</v>
      </c>
      <c r="M81" s="87">
        <f>ROUND(E81*H81,2)</f>
        <v>0</v>
      </c>
      <c r="N81" s="87">
        <f>ROUND(E81*I81,2)</f>
        <v>0</v>
      </c>
      <c r="O81" s="87">
        <f>ROUND(E81*J81,2)</f>
        <v>0</v>
      </c>
      <c r="P81" s="88">
        <f>ROUND(O81+N81+M81,2)</f>
        <v>0</v>
      </c>
    </row>
    <row r="82" spans="1:16" ht="13.2" x14ac:dyDescent="0.2">
      <c r="A82" s="160">
        <v>16</v>
      </c>
      <c r="B82" s="157"/>
      <c r="C82" s="164" t="s">
        <v>300</v>
      </c>
      <c r="D82" s="157" t="s">
        <v>58</v>
      </c>
      <c r="E82" s="162">
        <v>4</v>
      </c>
      <c r="F82" s="133"/>
      <c r="G82" s="134"/>
      <c r="H82" s="135"/>
      <c r="I82" s="134"/>
      <c r="J82" s="134"/>
      <c r="K82" s="134">
        <f t="shared" si="46"/>
        <v>0</v>
      </c>
      <c r="L82" s="105">
        <f t="shared" ref="L82:L93" si="53">ROUND(E82*F82,2)</f>
        <v>0</v>
      </c>
      <c r="M82" s="87">
        <f t="shared" ref="M82:M93" si="54">ROUND(E82*H82,2)</f>
        <v>0</v>
      </c>
      <c r="N82" s="87">
        <f t="shared" ref="N82:N93" si="55">ROUND(E82*I82,2)</f>
        <v>0</v>
      </c>
      <c r="O82" s="87">
        <f t="shared" ref="O82:O93" si="56">ROUND(E82*J82,2)</f>
        <v>0</v>
      </c>
      <c r="P82" s="88">
        <f t="shared" ref="P82:P93" si="57">ROUND(O82+N82+M82,2)</f>
        <v>0</v>
      </c>
    </row>
    <row r="83" spans="1:16" ht="26.4" x14ac:dyDescent="0.2">
      <c r="A83" s="160">
        <v>17</v>
      </c>
      <c r="B83" s="157"/>
      <c r="C83" s="164" t="s">
        <v>245</v>
      </c>
      <c r="D83" s="157" t="s">
        <v>58</v>
      </c>
      <c r="E83" s="162">
        <v>2</v>
      </c>
      <c r="F83" s="133"/>
      <c r="G83" s="134"/>
      <c r="H83" s="135"/>
      <c r="I83" s="134"/>
      <c r="J83" s="134"/>
      <c r="K83" s="134">
        <f t="shared" si="46"/>
        <v>0</v>
      </c>
      <c r="L83" s="105">
        <f t="shared" si="53"/>
        <v>0</v>
      </c>
      <c r="M83" s="87">
        <f t="shared" si="54"/>
        <v>0</v>
      </c>
      <c r="N83" s="87">
        <f t="shared" si="55"/>
        <v>0</v>
      </c>
      <c r="O83" s="87">
        <f t="shared" si="56"/>
        <v>0</v>
      </c>
      <c r="P83" s="88">
        <f t="shared" si="57"/>
        <v>0</v>
      </c>
    </row>
    <row r="84" spans="1:16" ht="13.2" x14ac:dyDescent="0.2">
      <c r="A84" s="160">
        <v>18</v>
      </c>
      <c r="B84" s="157" t="s">
        <v>56</v>
      </c>
      <c r="C84" s="163" t="s">
        <v>248</v>
      </c>
      <c r="D84" s="157" t="s">
        <v>70</v>
      </c>
      <c r="E84" s="162">
        <v>74.400000000000006</v>
      </c>
      <c r="F84" s="133"/>
      <c r="G84" s="134"/>
      <c r="H84" s="135">
        <f t="shared" ref="H84" si="58">ROUND(F84*G84,2)</f>
        <v>0</v>
      </c>
      <c r="I84" s="134"/>
      <c r="J84" s="134"/>
      <c r="K84" s="134">
        <f t="shared" si="46"/>
        <v>0</v>
      </c>
      <c r="L84" s="105">
        <f t="shared" si="53"/>
        <v>0</v>
      </c>
      <c r="M84" s="87">
        <f t="shared" si="54"/>
        <v>0</v>
      </c>
      <c r="N84" s="87">
        <f t="shared" si="55"/>
        <v>0</v>
      </c>
      <c r="O84" s="87">
        <f t="shared" si="56"/>
        <v>0</v>
      </c>
      <c r="P84" s="88">
        <f t="shared" si="57"/>
        <v>0</v>
      </c>
    </row>
    <row r="85" spans="1:16" ht="13.2" x14ac:dyDescent="0.2">
      <c r="A85" s="160">
        <v>19</v>
      </c>
      <c r="B85" s="157"/>
      <c r="C85" s="164" t="s">
        <v>269</v>
      </c>
      <c r="D85" s="157" t="s">
        <v>157</v>
      </c>
      <c r="E85" s="162">
        <f>E84*0.15</f>
        <v>11.16</v>
      </c>
      <c r="F85" s="133"/>
      <c r="G85" s="134"/>
      <c r="H85" s="135"/>
      <c r="I85" s="134"/>
      <c r="J85" s="134"/>
      <c r="K85" s="134">
        <f t="shared" si="46"/>
        <v>0</v>
      </c>
      <c r="L85" s="105">
        <f t="shared" si="53"/>
        <v>0</v>
      </c>
      <c r="M85" s="87">
        <f t="shared" si="54"/>
        <v>0</v>
      </c>
      <c r="N85" s="87">
        <f t="shared" si="55"/>
        <v>0</v>
      </c>
      <c r="O85" s="87">
        <f t="shared" si="56"/>
        <v>0</v>
      </c>
      <c r="P85" s="88">
        <f t="shared" si="57"/>
        <v>0</v>
      </c>
    </row>
    <row r="86" spans="1:16" ht="26.4" x14ac:dyDescent="0.2">
      <c r="A86" s="160">
        <v>20</v>
      </c>
      <c r="B86" s="157"/>
      <c r="C86" s="164" t="s">
        <v>270</v>
      </c>
      <c r="D86" s="157" t="s">
        <v>165</v>
      </c>
      <c r="E86" s="162">
        <f>E84*4</f>
        <v>297.60000000000002</v>
      </c>
      <c r="F86" s="133"/>
      <c r="G86" s="134"/>
      <c r="H86" s="135"/>
      <c r="I86" s="134"/>
      <c r="J86" s="134"/>
      <c r="K86" s="134">
        <f t="shared" si="46"/>
        <v>0</v>
      </c>
      <c r="L86" s="105">
        <f t="shared" si="53"/>
        <v>0</v>
      </c>
      <c r="M86" s="87">
        <f t="shared" si="54"/>
        <v>0</v>
      </c>
      <c r="N86" s="87">
        <f t="shared" si="55"/>
        <v>0</v>
      </c>
      <c r="O86" s="87">
        <f t="shared" si="56"/>
        <v>0</v>
      </c>
      <c r="P86" s="88">
        <f t="shared" si="57"/>
        <v>0</v>
      </c>
    </row>
    <row r="87" spans="1:16" ht="39.6" x14ac:dyDescent="0.2">
      <c r="A87" s="165"/>
      <c r="B87" s="166"/>
      <c r="C87" s="167" t="s">
        <v>308</v>
      </c>
      <c r="D87" s="168"/>
      <c r="E87" s="169"/>
      <c r="F87" s="170"/>
      <c r="G87" s="171"/>
      <c r="H87" s="171"/>
      <c r="I87" s="171"/>
      <c r="J87" s="171"/>
      <c r="K87" s="171"/>
      <c r="L87" s="105"/>
      <c r="M87" s="87"/>
      <c r="N87" s="87"/>
      <c r="O87" s="87"/>
      <c r="P87" s="88"/>
    </row>
    <row r="88" spans="1:16" ht="39.6" x14ac:dyDescent="0.2">
      <c r="A88" s="160">
        <v>1</v>
      </c>
      <c r="B88" s="157" t="s">
        <v>56</v>
      </c>
      <c r="C88" s="163" t="s">
        <v>283</v>
      </c>
      <c r="D88" s="157" t="s">
        <v>58</v>
      </c>
      <c r="E88" s="162">
        <f>19.2+4</f>
        <v>23.2</v>
      </c>
      <c r="F88" s="133"/>
      <c r="G88" s="134"/>
      <c r="H88" s="135">
        <f>ROUND(F88*G88,2)</f>
        <v>0</v>
      </c>
      <c r="I88" s="134"/>
      <c r="J88" s="134"/>
      <c r="K88" s="134">
        <f>ROUND(H88+J88+I88,2)</f>
        <v>0</v>
      </c>
      <c r="L88" s="105">
        <f t="shared" si="53"/>
        <v>0</v>
      </c>
      <c r="M88" s="87">
        <f t="shared" si="54"/>
        <v>0</v>
      </c>
      <c r="N88" s="87">
        <f t="shared" si="55"/>
        <v>0</v>
      </c>
      <c r="O88" s="87">
        <f t="shared" si="56"/>
        <v>0</v>
      </c>
      <c r="P88" s="88">
        <f t="shared" si="57"/>
        <v>0</v>
      </c>
    </row>
    <row r="89" spans="1:16" ht="13.2" x14ac:dyDescent="0.2">
      <c r="A89" s="160">
        <v>2</v>
      </c>
      <c r="B89" s="157" t="s">
        <v>56</v>
      </c>
      <c r="C89" s="163" t="s">
        <v>284</v>
      </c>
      <c r="D89" s="157" t="s">
        <v>70</v>
      </c>
      <c r="E89" s="162">
        <v>24.1</v>
      </c>
      <c r="F89" s="133"/>
      <c r="G89" s="134"/>
      <c r="H89" s="135">
        <f t="shared" ref="H89:H91" si="59">ROUND(F89*G89,2)</f>
        <v>0</v>
      </c>
      <c r="I89" s="134"/>
      <c r="J89" s="134"/>
      <c r="K89" s="134">
        <f>ROUND(H89+J89+I89,2)</f>
        <v>0</v>
      </c>
      <c r="L89" s="105">
        <f t="shared" si="53"/>
        <v>0</v>
      </c>
      <c r="M89" s="87">
        <f t="shared" si="54"/>
        <v>0</v>
      </c>
      <c r="N89" s="87">
        <f t="shared" si="55"/>
        <v>0</v>
      </c>
      <c r="O89" s="87">
        <f t="shared" si="56"/>
        <v>0</v>
      </c>
      <c r="P89" s="88">
        <f t="shared" si="57"/>
        <v>0</v>
      </c>
    </row>
    <row r="90" spans="1:16" ht="26.4" x14ac:dyDescent="0.2">
      <c r="A90" s="160">
        <v>3</v>
      </c>
      <c r="B90" s="157" t="s">
        <v>56</v>
      </c>
      <c r="C90" s="163" t="s">
        <v>285</v>
      </c>
      <c r="D90" s="157" t="s">
        <v>70</v>
      </c>
      <c r="E90" s="162">
        <f>E89</f>
        <v>24.1</v>
      </c>
      <c r="F90" s="133"/>
      <c r="G90" s="134"/>
      <c r="H90" s="135">
        <f t="shared" si="59"/>
        <v>0</v>
      </c>
      <c r="I90" s="134"/>
      <c r="J90" s="134"/>
      <c r="K90" s="134">
        <f>ROUND(H90+J90+I90,2)</f>
        <v>0</v>
      </c>
      <c r="L90" s="105">
        <f t="shared" si="53"/>
        <v>0</v>
      </c>
      <c r="M90" s="87">
        <f t="shared" si="54"/>
        <v>0</v>
      </c>
      <c r="N90" s="87">
        <f t="shared" si="55"/>
        <v>0</v>
      </c>
      <c r="O90" s="87">
        <f t="shared" si="56"/>
        <v>0</v>
      </c>
      <c r="P90" s="88">
        <f t="shared" si="57"/>
        <v>0</v>
      </c>
    </row>
    <row r="91" spans="1:16" ht="26.4" x14ac:dyDescent="0.2">
      <c r="A91" s="160">
        <v>4</v>
      </c>
      <c r="B91" s="157" t="s">
        <v>56</v>
      </c>
      <c r="C91" s="163" t="s">
        <v>286</v>
      </c>
      <c r="D91" s="157" t="s">
        <v>70</v>
      </c>
      <c r="E91" s="162">
        <f>E89</f>
        <v>24.1</v>
      </c>
      <c r="F91" s="133"/>
      <c r="G91" s="134"/>
      <c r="H91" s="135">
        <f t="shared" si="59"/>
        <v>0</v>
      </c>
      <c r="I91" s="134"/>
      <c r="J91" s="134"/>
      <c r="K91" s="134">
        <f>ROUND(H91+J91+I91,2)</f>
        <v>0</v>
      </c>
      <c r="L91" s="105">
        <f t="shared" si="53"/>
        <v>0</v>
      </c>
      <c r="M91" s="87">
        <f t="shared" si="54"/>
        <v>0</v>
      </c>
      <c r="N91" s="87">
        <f t="shared" si="55"/>
        <v>0</v>
      </c>
      <c r="O91" s="87">
        <f t="shared" si="56"/>
        <v>0</v>
      </c>
      <c r="P91" s="88">
        <f t="shared" si="57"/>
        <v>0</v>
      </c>
    </row>
    <row r="92" spans="1:16" ht="13.2" x14ac:dyDescent="0.2">
      <c r="A92" s="160">
        <v>5</v>
      </c>
      <c r="B92" s="157"/>
      <c r="C92" s="164" t="s">
        <v>160</v>
      </c>
      <c r="D92" s="157" t="s">
        <v>157</v>
      </c>
      <c r="E92" s="162">
        <f>E91*0.12</f>
        <v>2.8919999999999999</v>
      </c>
      <c r="F92" s="133"/>
      <c r="G92" s="134"/>
      <c r="H92" s="135"/>
      <c r="I92" s="134"/>
      <c r="J92" s="134"/>
      <c r="K92" s="134">
        <f t="shared" ref="K92:K93" si="60">ROUND(H92+J92+I92,2)</f>
        <v>0</v>
      </c>
      <c r="L92" s="105">
        <f t="shared" si="53"/>
        <v>0</v>
      </c>
      <c r="M92" s="87">
        <f t="shared" si="54"/>
        <v>0</v>
      </c>
      <c r="N92" s="87">
        <f t="shared" si="55"/>
        <v>0</v>
      </c>
      <c r="O92" s="87">
        <f t="shared" si="56"/>
        <v>0</v>
      </c>
      <c r="P92" s="88">
        <f t="shared" si="57"/>
        <v>0</v>
      </c>
    </row>
    <row r="93" spans="1:16" ht="26.4" x14ac:dyDescent="0.2">
      <c r="A93" s="160">
        <v>6</v>
      </c>
      <c r="B93" s="157"/>
      <c r="C93" s="164" t="s">
        <v>161</v>
      </c>
      <c r="D93" s="157" t="s">
        <v>162</v>
      </c>
      <c r="E93" s="162">
        <f>E91*5</f>
        <v>120.5</v>
      </c>
      <c r="F93" s="133"/>
      <c r="G93" s="134"/>
      <c r="H93" s="135"/>
      <c r="I93" s="134"/>
      <c r="J93" s="134"/>
      <c r="K93" s="134">
        <f t="shared" si="60"/>
        <v>0</v>
      </c>
      <c r="L93" s="105">
        <f t="shared" si="53"/>
        <v>0</v>
      </c>
      <c r="M93" s="87">
        <f t="shared" si="54"/>
        <v>0</v>
      </c>
      <c r="N93" s="87">
        <f t="shared" si="55"/>
        <v>0</v>
      </c>
      <c r="O93" s="87">
        <f t="shared" si="56"/>
        <v>0</v>
      </c>
      <c r="P93" s="88">
        <f t="shared" si="57"/>
        <v>0</v>
      </c>
    </row>
    <row r="94" spans="1:16" ht="13.2" x14ac:dyDescent="0.2">
      <c r="A94" s="160">
        <v>7</v>
      </c>
      <c r="B94" s="157" t="s">
        <v>56</v>
      </c>
      <c r="C94" s="163" t="s">
        <v>287</v>
      </c>
      <c r="D94" s="157" t="s">
        <v>70</v>
      </c>
      <c r="E94" s="162">
        <f>E91</f>
        <v>24.1</v>
      </c>
      <c r="F94" s="133"/>
      <c r="G94" s="134"/>
      <c r="H94" s="135">
        <f t="shared" ref="H94" si="61">ROUND(F94*G94,2)</f>
        <v>0</v>
      </c>
      <c r="I94" s="134"/>
      <c r="J94" s="134"/>
      <c r="K94" s="134">
        <f>ROUND(H94+J94+I94,2)</f>
        <v>0</v>
      </c>
      <c r="L94" s="108"/>
      <c r="M94" s="99"/>
      <c r="N94" s="99"/>
      <c r="O94" s="99"/>
      <c r="P94" s="100"/>
    </row>
    <row r="95" spans="1:16" ht="13.2" x14ac:dyDescent="0.2">
      <c r="A95" s="160">
        <v>8</v>
      </c>
      <c r="B95" s="157"/>
      <c r="C95" s="164" t="s">
        <v>305</v>
      </c>
      <c r="D95" s="157" t="s">
        <v>289</v>
      </c>
      <c r="E95" s="162">
        <f>ROUND(E94/6,2)</f>
        <v>4.0199999999999996</v>
      </c>
      <c r="F95" s="133"/>
      <c r="G95" s="134"/>
      <c r="H95" s="135"/>
      <c r="I95" s="134"/>
      <c r="J95" s="134"/>
      <c r="K95" s="134">
        <f t="shared" ref="K95:K105" si="62">ROUND(H95+J95+I95,2)</f>
        <v>0</v>
      </c>
      <c r="L95" s="105">
        <f t="shared" ref="L95" si="63">ROUND(E95*F95,2)</f>
        <v>0</v>
      </c>
      <c r="M95" s="87">
        <f t="shared" ref="M95" si="64">ROUND(E95*H95,2)</f>
        <v>0</v>
      </c>
      <c r="N95" s="87">
        <f t="shared" ref="N95" si="65">ROUND(E95*I95,2)</f>
        <v>0</v>
      </c>
      <c r="O95" s="87">
        <f t="shared" ref="O95" si="66">ROUND(E95*J95,2)</f>
        <v>0</v>
      </c>
      <c r="P95" s="88">
        <f t="shared" ref="P95" si="67">ROUND(O95+N95+M95,2)</f>
        <v>0</v>
      </c>
    </row>
    <row r="96" spans="1:16" ht="13.2" x14ac:dyDescent="0.2">
      <c r="A96" s="160">
        <v>9</v>
      </c>
      <c r="B96" s="157"/>
      <c r="C96" s="164" t="s">
        <v>295</v>
      </c>
      <c r="D96" s="157" t="s">
        <v>62</v>
      </c>
      <c r="E96" s="162">
        <f>ROUND(E94*5.5,0)</f>
        <v>133</v>
      </c>
      <c r="F96" s="133"/>
      <c r="G96" s="134"/>
      <c r="H96" s="135"/>
      <c r="I96" s="134"/>
      <c r="J96" s="134"/>
      <c r="K96" s="134">
        <f t="shared" si="62"/>
        <v>0</v>
      </c>
      <c r="L96" s="108"/>
      <c r="M96" s="99"/>
      <c r="N96" s="99"/>
      <c r="O96" s="99"/>
      <c r="P96" s="100"/>
    </row>
    <row r="97" spans="1:16" ht="13.2" x14ac:dyDescent="0.2">
      <c r="A97" s="160">
        <v>10</v>
      </c>
      <c r="B97" s="157"/>
      <c r="C97" s="164" t="s">
        <v>291</v>
      </c>
      <c r="D97" s="157" t="s">
        <v>62</v>
      </c>
      <c r="E97" s="162">
        <f>E96</f>
        <v>133</v>
      </c>
      <c r="F97" s="133"/>
      <c r="G97" s="134"/>
      <c r="H97" s="135"/>
      <c r="I97" s="134"/>
      <c r="J97" s="134"/>
      <c r="K97" s="134">
        <f t="shared" si="62"/>
        <v>0</v>
      </c>
      <c r="L97" s="105">
        <f t="shared" ref="L97:L99" si="68">ROUND(E97*F97,2)</f>
        <v>0</v>
      </c>
      <c r="M97" s="87">
        <f t="shared" ref="M97:M99" si="69">ROUND(E97*H97,2)</f>
        <v>0</v>
      </c>
      <c r="N97" s="87">
        <f t="shared" ref="N97:N99" si="70">ROUND(E97*I97,2)</f>
        <v>0</v>
      </c>
      <c r="O97" s="87">
        <f t="shared" ref="O97:O99" si="71">ROUND(E97*J97,2)</f>
        <v>0</v>
      </c>
      <c r="P97" s="88">
        <f t="shared" ref="P97:P99" si="72">ROUND(O97+N97+M97,2)</f>
        <v>0</v>
      </c>
    </row>
    <row r="98" spans="1:16" ht="26.4" x14ac:dyDescent="0.2">
      <c r="A98" s="160">
        <v>11</v>
      </c>
      <c r="B98" s="157"/>
      <c r="C98" s="164" t="s">
        <v>292</v>
      </c>
      <c r="D98" s="157" t="s">
        <v>70</v>
      </c>
      <c r="E98" s="162">
        <f>E94*1.02</f>
        <v>24.582000000000001</v>
      </c>
      <c r="F98" s="133"/>
      <c r="G98" s="134"/>
      <c r="H98" s="135"/>
      <c r="I98" s="134"/>
      <c r="J98" s="134"/>
      <c r="K98" s="134">
        <f t="shared" si="62"/>
        <v>0</v>
      </c>
      <c r="L98" s="105">
        <f t="shared" si="68"/>
        <v>0</v>
      </c>
      <c r="M98" s="87">
        <f t="shared" si="69"/>
        <v>0</v>
      </c>
      <c r="N98" s="87">
        <f t="shared" si="70"/>
        <v>0</v>
      </c>
      <c r="O98" s="87">
        <f t="shared" si="71"/>
        <v>0</v>
      </c>
      <c r="P98" s="88">
        <f t="shared" si="72"/>
        <v>0</v>
      </c>
    </row>
    <row r="99" spans="1:16" ht="13.2" x14ac:dyDescent="0.2">
      <c r="A99" s="160">
        <v>12</v>
      </c>
      <c r="B99" s="157" t="s">
        <v>56</v>
      </c>
      <c r="C99" s="163" t="s">
        <v>177</v>
      </c>
      <c r="D99" s="157" t="s">
        <v>70</v>
      </c>
      <c r="E99" s="162">
        <f>E94</f>
        <v>24.1</v>
      </c>
      <c r="F99" s="133"/>
      <c r="G99" s="134"/>
      <c r="H99" s="135">
        <f t="shared" ref="H99" si="73">ROUND(F99*G99,2)</f>
        <v>0</v>
      </c>
      <c r="I99" s="134"/>
      <c r="J99" s="134"/>
      <c r="K99" s="134">
        <f t="shared" si="62"/>
        <v>0</v>
      </c>
      <c r="L99" s="105">
        <f t="shared" si="68"/>
        <v>0</v>
      </c>
      <c r="M99" s="87">
        <f t="shared" si="69"/>
        <v>0</v>
      </c>
      <c r="N99" s="87">
        <f t="shared" si="70"/>
        <v>0</v>
      </c>
      <c r="O99" s="87">
        <f t="shared" si="71"/>
        <v>0</v>
      </c>
      <c r="P99" s="88">
        <f t="shared" si="72"/>
        <v>0</v>
      </c>
    </row>
    <row r="100" spans="1:16" ht="13.2" x14ac:dyDescent="0.2">
      <c r="A100" s="160">
        <v>13</v>
      </c>
      <c r="B100" s="157"/>
      <c r="C100" s="164" t="s">
        <v>160</v>
      </c>
      <c r="D100" s="157" t="s">
        <v>157</v>
      </c>
      <c r="E100" s="162">
        <f>E99*0.12</f>
        <v>2.8919999999999999</v>
      </c>
      <c r="F100" s="133"/>
      <c r="G100" s="134"/>
      <c r="H100" s="135"/>
      <c r="I100" s="134"/>
      <c r="J100" s="134"/>
      <c r="K100" s="134">
        <f t="shared" si="62"/>
        <v>0</v>
      </c>
      <c r="L100" s="105">
        <f>ROUND(E100*F100,2)</f>
        <v>0</v>
      </c>
      <c r="M100" s="87">
        <f>ROUND(E100*H100,2)</f>
        <v>0</v>
      </c>
      <c r="N100" s="87">
        <f>ROUND(E100*I100,2)</f>
        <v>0</v>
      </c>
      <c r="O100" s="87">
        <f>ROUND(E100*J100,2)</f>
        <v>0</v>
      </c>
      <c r="P100" s="88">
        <f>ROUND(O100+N100+M100,2)</f>
        <v>0</v>
      </c>
    </row>
    <row r="101" spans="1:16" ht="13.2" x14ac:dyDescent="0.2">
      <c r="A101" s="160">
        <v>14</v>
      </c>
      <c r="B101" s="157"/>
      <c r="C101" s="164" t="s">
        <v>299</v>
      </c>
      <c r="D101" s="157" t="s">
        <v>165</v>
      </c>
      <c r="E101" s="162">
        <f>E99*4.5</f>
        <v>108.45</v>
      </c>
      <c r="F101" s="133"/>
      <c r="G101" s="134"/>
      <c r="H101" s="135"/>
      <c r="I101" s="134"/>
      <c r="J101" s="134"/>
      <c r="K101" s="134">
        <f t="shared" si="62"/>
        <v>0</v>
      </c>
      <c r="L101" s="105">
        <f t="shared" ref="L101:L105" si="74">ROUND(E101*F101,2)</f>
        <v>0</v>
      </c>
      <c r="M101" s="87">
        <f t="shared" ref="M101:M105" si="75">ROUND(E101*H101,2)</f>
        <v>0</v>
      </c>
      <c r="N101" s="87">
        <f t="shared" ref="N101:N105" si="76">ROUND(E101*I101,2)</f>
        <v>0</v>
      </c>
      <c r="O101" s="87">
        <f t="shared" ref="O101:O105" si="77">ROUND(E101*J101,2)</f>
        <v>0</v>
      </c>
      <c r="P101" s="88">
        <f t="shared" ref="P101:P105" si="78">ROUND(O101+N101+M101,2)</f>
        <v>0</v>
      </c>
    </row>
    <row r="102" spans="1:16" ht="13.2" x14ac:dyDescent="0.2">
      <c r="A102" s="160">
        <v>15</v>
      </c>
      <c r="B102" s="157"/>
      <c r="C102" s="164" t="s">
        <v>170</v>
      </c>
      <c r="D102" s="157" t="s">
        <v>70</v>
      </c>
      <c r="E102" s="162">
        <f>E99*1.2</f>
        <v>28.92</v>
      </c>
      <c r="F102" s="133"/>
      <c r="G102" s="134"/>
      <c r="H102" s="135"/>
      <c r="I102" s="134"/>
      <c r="J102" s="134"/>
      <c r="K102" s="134">
        <f t="shared" si="62"/>
        <v>0</v>
      </c>
      <c r="L102" s="105">
        <f t="shared" si="74"/>
        <v>0</v>
      </c>
      <c r="M102" s="87">
        <f t="shared" si="75"/>
        <v>0</v>
      </c>
      <c r="N102" s="87">
        <f t="shared" si="76"/>
        <v>0</v>
      </c>
      <c r="O102" s="87">
        <f t="shared" si="77"/>
        <v>0</v>
      </c>
      <c r="P102" s="88">
        <f t="shared" si="78"/>
        <v>0</v>
      </c>
    </row>
    <row r="103" spans="1:16" ht="13.2" x14ac:dyDescent="0.2">
      <c r="A103" s="160">
        <v>16</v>
      </c>
      <c r="B103" s="157" t="s">
        <v>56</v>
      </c>
      <c r="C103" s="163" t="s">
        <v>248</v>
      </c>
      <c r="D103" s="157" t="s">
        <v>70</v>
      </c>
      <c r="E103" s="162">
        <v>11</v>
      </c>
      <c r="F103" s="133"/>
      <c r="G103" s="134"/>
      <c r="H103" s="135">
        <f t="shared" ref="H103" si="79">ROUND(F103*G103,2)</f>
        <v>0</v>
      </c>
      <c r="I103" s="134"/>
      <c r="J103" s="134"/>
      <c r="K103" s="134">
        <f t="shared" si="62"/>
        <v>0</v>
      </c>
      <c r="L103" s="105">
        <f t="shared" si="74"/>
        <v>0</v>
      </c>
      <c r="M103" s="87">
        <f t="shared" si="75"/>
        <v>0</v>
      </c>
      <c r="N103" s="87">
        <f t="shared" si="76"/>
        <v>0</v>
      </c>
      <c r="O103" s="87">
        <f t="shared" si="77"/>
        <v>0</v>
      </c>
      <c r="P103" s="88">
        <f t="shared" si="78"/>
        <v>0</v>
      </c>
    </row>
    <row r="104" spans="1:16" ht="13.2" x14ac:dyDescent="0.2">
      <c r="A104" s="160">
        <v>17</v>
      </c>
      <c r="B104" s="157"/>
      <c r="C104" s="164" t="s">
        <v>269</v>
      </c>
      <c r="D104" s="157" t="s">
        <v>157</v>
      </c>
      <c r="E104" s="162">
        <f>E103*0.15</f>
        <v>1.65</v>
      </c>
      <c r="F104" s="133"/>
      <c r="G104" s="134"/>
      <c r="H104" s="135"/>
      <c r="I104" s="134"/>
      <c r="J104" s="134"/>
      <c r="K104" s="134">
        <f t="shared" si="62"/>
        <v>0</v>
      </c>
      <c r="L104" s="105">
        <f t="shared" si="74"/>
        <v>0</v>
      </c>
      <c r="M104" s="87">
        <f t="shared" si="75"/>
        <v>0</v>
      </c>
      <c r="N104" s="87">
        <f t="shared" si="76"/>
        <v>0</v>
      </c>
      <c r="O104" s="87">
        <f t="shared" si="77"/>
        <v>0</v>
      </c>
      <c r="P104" s="88">
        <f t="shared" si="78"/>
        <v>0</v>
      </c>
    </row>
    <row r="105" spans="1:16" ht="27" thickBot="1" x14ac:dyDescent="0.25">
      <c r="A105" s="160">
        <v>18</v>
      </c>
      <c r="B105" s="157"/>
      <c r="C105" s="164" t="s">
        <v>270</v>
      </c>
      <c r="D105" s="157" t="s">
        <v>165</v>
      </c>
      <c r="E105" s="162">
        <f>E103*4</f>
        <v>44</v>
      </c>
      <c r="F105" s="133"/>
      <c r="G105" s="134"/>
      <c r="H105" s="135"/>
      <c r="I105" s="134"/>
      <c r="J105" s="134"/>
      <c r="K105" s="134">
        <f t="shared" si="62"/>
        <v>0</v>
      </c>
      <c r="L105" s="105">
        <f t="shared" si="74"/>
        <v>0</v>
      </c>
      <c r="M105" s="87">
        <f t="shared" si="75"/>
        <v>0</v>
      </c>
      <c r="N105" s="87">
        <f t="shared" si="76"/>
        <v>0</v>
      </c>
      <c r="O105" s="87">
        <f t="shared" si="77"/>
        <v>0</v>
      </c>
      <c r="P105" s="88">
        <f t="shared" si="78"/>
        <v>0</v>
      </c>
    </row>
    <row r="106" spans="1:16" ht="10.8" thickBot="1" x14ac:dyDescent="0.25">
      <c r="A106" s="285"/>
      <c r="B106" s="286"/>
      <c r="C106" s="286"/>
      <c r="D106" s="286"/>
      <c r="E106" s="286"/>
      <c r="F106" s="286"/>
      <c r="G106" s="286"/>
      <c r="H106" s="286"/>
      <c r="I106" s="286"/>
      <c r="J106" s="286"/>
      <c r="K106" s="287"/>
      <c r="L106" s="52">
        <f>SUM(L14:L105)</f>
        <v>0</v>
      </c>
      <c r="M106" s="53">
        <f>SUM(M14:M105)</f>
        <v>0</v>
      </c>
      <c r="N106" s="53">
        <f>SUM(N14:N105)</f>
        <v>0</v>
      </c>
      <c r="O106" s="53">
        <f>SUM(O14:O105)</f>
        <v>0</v>
      </c>
      <c r="P106" s="54">
        <f>SUM(P14:P105)</f>
        <v>0</v>
      </c>
    </row>
    <row r="107" spans="1:16" x14ac:dyDescent="0.2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</row>
    <row r="108" spans="1:16" x14ac:dyDescent="0.2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</row>
    <row r="109" spans="1:16" x14ac:dyDescent="0.2">
      <c r="A109" s="1" t="s">
        <v>18</v>
      </c>
      <c r="B109" s="14"/>
      <c r="C109" s="281">
        <f>'Kops a'!C35:H35</f>
        <v>0</v>
      </c>
      <c r="D109" s="281"/>
      <c r="E109" s="281"/>
      <c r="F109" s="281"/>
      <c r="G109" s="281"/>
      <c r="H109" s="281"/>
      <c r="I109" s="14"/>
      <c r="J109" s="14"/>
      <c r="K109" s="14"/>
      <c r="L109" s="14"/>
      <c r="M109" s="14"/>
      <c r="N109" s="14"/>
      <c r="O109" s="14"/>
      <c r="P109" s="14"/>
    </row>
    <row r="110" spans="1:16" x14ac:dyDescent="0.2">
      <c r="A110" s="14"/>
      <c r="B110" s="14"/>
      <c r="C110" s="216" t="s">
        <v>19</v>
      </c>
      <c r="D110" s="216"/>
      <c r="E110" s="216"/>
      <c r="F110" s="216"/>
      <c r="G110" s="216"/>
      <c r="H110" s="216"/>
      <c r="I110" s="14"/>
      <c r="J110" s="14"/>
      <c r="K110" s="14"/>
      <c r="L110" s="14"/>
      <c r="M110" s="14"/>
      <c r="N110" s="14"/>
      <c r="O110" s="14"/>
      <c r="P110" s="14"/>
    </row>
    <row r="111" spans="1:16" x14ac:dyDescent="0.2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</row>
    <row r="112" spans="1:16" x14ac:dyDescent="0.2">
      <c r="A112" s="70" t="str">
        <f>'Kops a'!A38</f>
        <v>Tāme sastādīta</v>
      </c>
      <c r="B112" s="71"/>
      <c r="C112" s="71"/>
      <c r="D112" s="71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</row>
    <row r="113" spans="1:16" x14ac:dyDescent="0.2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</row>
    <row r="114" spans="1:16" x14ac:dyDescent="0.2">
      <c r="A114" s="1" t="s">
        <v>38</v>
      </c>
      <c r="B114" s="14"/>
      <c r="C114" s="281">
        <f>'Kops a'!C40:H40</f>
        <v>0</v>
      </c>
      <c r="D114" s="281"/>
      <c r="E114" s="281"/>
      <c r="F114" s="281"/>
      <c r="G114" s="281"/>
      <c r="H114" s="281"/>
      <c r="I114" s="14"/>
      <c r="J114" s="14"/>
      <c r="K114" s="14"/>
      <c r="L114" s="14"/>
      <c r="M114" s="14"/>
      <c r="N114" s="14"/>
      <c r="O114" s="14"/>
      <c r="P114" s="14"/>
    </row>
    <row r="115" spans="1:16" x14ac:dyDescent="0.2">
      <c r="A115" s="14"/>
      <c r="B115" s="14"/>
      <c r="C115" s="216" t="s">
        <v>19</v>
      </c>
      <c r="D115" s="216"/>
      <c r="E115" s="216"/>
      <c r="F115" s="216"/>
      <c r="G115" s="216"/>
      <c r="H115" s="216"/>
      <c r="I115" s="14"/>
      <c r="J115" s="14"/>
      <c r="K115" s="14"/>
      <c r="L115" s="14"/>
      <c r="M115" s="14"/>
      <c r="N115" s="14"/>
      <c r="O115" s="14"/>
      <c r="P115" s="14"/>
    </row>
    <row r="116" spans="1:16" x14ac:dyDescent="0.2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</row>
    <row r="117" spans="1:16" x14ac:dyDescent="0.2">
      <c r="A117" s="70" t="s">
        <v>84</v>
      </c>
      <c r="B117" s="71"/>
      <c r="C117" s="75">
        <f>'Kops a'!C43</f>
        <v>0</v>
      </c>
      <c r="D117" s="39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</row>
    <row r="118" spans="1:16" x14ac:dyDescent="0.2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</row>
  </sheetData>
  <mergeCells count="22">
    <mergeCell ref="C115:H115"/>
    <mergeCell ref="C4:I4"/>
    <mergeCell ref="F12:K12"/>
    <mergeCell ref="A9:F9"/>
    <mergeCell ref="J9:M9"/>
    <mergeCell ref="D8:L8"/>
    <mergeCell ref="A106:K106"/>
    <mergeCell ref="C109:H109"/>
    <mergeCell ref="C110:H110"/>
    <mergeCell ref="C114:H114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C104:C105 I14:J105 A14:B105 D14:G105 C14:C102">
    <cfRule type="cellIs" dxfId="160" priority="54" operator="equal">
      <formula>0</formula>
    </cfRule>
  </conditionalFormatting>
  <conditionalFormatting sqref="N9:O9 H14:H105 K14:P105">
    <cfRule type="cellIs" dxfId="159" priority="55" operator="equal">
      <formula>0</formula>
    </cfRule>
  </conditionalFormatting>
  <conditionalFormatting sqref="A9:F9">
    <cfRule type="containsText" dxfId="158" priority="52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57" priority="51" operator="equal">
      <formula>0</formula>
    </cfRule>
  </conditionalFormatting>
  <conditionalFormatting sqref="O10">
    <cfRule type="cellIs" dxfId="156" priority="50" operator="equal">
      <formula>"20__. gada __. _________"</formula>
    </cfRule>
  </conditionalFormatting>
  <conditionalFormatting sqref="A106:K106">
    <cfRule type="containsText" dxfId="155" priority="49" operator="containsText" text="Tiešās izmaksas kopā, t. sk. darba devēja sociālais nodoklis __.__% ">
      <formula>NOT(ISERROR(SEARCH("Tiešās izmaksas kopā, t. sk. darba devēja sociālais nodoklis __.__% ",A106)))</formula>
    </cfRule>
  </conditionalFormatting>
  <conditionalFormatting sqref="L106:P106">
    <cfRule type="cellIs" dxfId="154" priority="44" operator="equal">
      <formula>0</formula>
    </cfRule>
  </conditionalFormatting>
  <conditionalFormatting sqref="C4:I4">
    <cfRule type="cellIs" dxfId="153" priority="43" operator="equal">
      <formula>0</formula>
    </cfRule>
  </conditionalFormatting>
  <conditionalFormatting sqref="D5:L8">
    <cfRule type="cellIs" dxfId="152" priority="39" operator="equal">
      <formula>0</formula>
    </cfRule>
  </conditionalFormatting>
  <conditionalFormatting sqref="P10">
    <cfRule type="cellIs" dxfId="151" priority="35" operator="equal">
      <formula>"20__. gada __. _________"</formula>
    </cfRule>
  </conditionalFormatting>
  <conditionalFormatting sqref="C114:H114">
    <cfRule type="cellIs" dxfId="150" priority="32" operator="equal">
      <formula>0</formula>
    </cfRule>
  </conditionalFormatting>
  <conditionalFormatting sqref="C109:H109">
    <cfRule type="cellIs" dxfId="149" priority="31" operator="equal">
      <formula>0</formula>
    </cfRule>
  </conditionalFormatting>
  <conditionalFormatting sqref="C114:H114 C117 C109:H109">
    <cfRule type="cellIs" dxfId="148" priority="30" operator="equal">
      <formula>0</formula>
    </cfRule>
  </conditionalFormatting>
  <conditionalFormatting sqref="D1">
    <cfRule type="cellIs" dxfId="147" priority="29" operator="equal">
      <formula>0</formula>
    </cfRule>
  </conditionalFormatting>
  <conditionalFormatting sqref="C103">
    <cfRule type="cellIs" dxfId="146" priority="28" operator="equal">
      <formula>0</formula>
    </cfRule>
  </conditionalFormatting>
  <pageMargins left="0.7" right="0.7" top="0.75" bottom="0.75" header="0.3" footer="0.3"/>
  <pageSetup paperSize="9" scale="9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4" operator="containsText" id="{A5F45D83-914D-4306-B26D-4B74C3C819FC}">
            <xm:f>NOT(ISERROR(SEARCH("Tāme sastādīta ____. gada ___. ______________",A112)))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A112</xm:sqref>
        </x14:conditionalFormatting>
        <x14:conditionalFormatting xmlns:xm="http://schemas.microsoft.com/office/excel/2006/main">
          <x14:cfRule type="containsText" priority="33" operator="containsText" id="{A2E03CF5-E14D-4A31-8C34-6550548A72DB}">
            <xm:f>NOT(ISERROR(SEARCH("Sertifikāta Nr. _________________________________",A117)))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A117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135"/>
  <sheetViews>
    <sheetView zoomScaleNormal="100" zoomScaleSheetLayoutView="100" workbookViewId="0">
      <selection activeCell="D5" sqref="D5:L5"/>
    </sheetView>
  </sheetViews>
  <sheetFormatPr defaultColWidth="9.109375" defaultRowHeight="10.199999999999999" x14ac:dyDescent="0.2"/>
  <cols>
    <col min="1" max="1" width="4.5546875" style="1" customWidth="1"/>
    <col min="2" max="2" width="9.44140625" style="1" bestFit="1" customWidth="1"/>
    <col min="3" max="3" width="38.44140625" style="1" customWidth="1"/>
    <col min="4" max="4" width="5.88671875" style="1" customWidth="1"/>
    <col min="5" max="5" width="8.6640625" style="1" customWidth="1"/>
    <col min="6" max="6" width="4.44140625" style="1" bestFit="1" customWidth="1"/>
    <col min="7" max="8" width="5.44140625" style="1" bestFit="1" customWidth="1"/>
    <col min="9" max="11" width="6.33203125" style="1" bestFit="1" customWidth="1"/>
    <col min="12" max="12" width="6.5546875" style="1" bestFit="1" customWidth="1"/>
    <col min="13" max="13" width="7.6640625" style="1" customWidth="1"/>
    <col min="14" max="14" width="8.6640625" style="1" bestFit="1" customWidth="1"/>
    <col min="15" max="15" width="7.6640625" style="1" customWidth="1"/>
    <col min="16" max="16" width="9" style="1" customWidth="1"/>
    <col min="17" max="16384" width="9.109375" style="1"/>
  </cols>
  <sheetData>
    <row r="1" spans="1:21" x14ac:dyDescent="0.2">
      <c r="A1" s="19"/>
      <c r="B1" s="19"/>
      <c r="C1" s="23" t="s">
        <v>39</v>
      </c>
      <c r="D1" s="40">
        <f>'Kops a'!A21</f>
        <v>0</v>
      </c>
      <c r="E1" s="19"/>
      <c r="F1" s="19"/>
      <c r="G1" s="19"/>
      <c r="H1" s="19"/>
      <c r="I1" s="19"/>
      <c r="J1" s="19"/>
      <c r="N1" s="22"/>
      <c r="O1" s="23"/>
      <c r="P1" s="24"/>
    </row>
    <row r="2" spans="1:21" x14ac:dyDescent="0.2">
      <c r="A2" s="25"/>
      <c r="B2" s="25"/>
      <c r="C2" s="264" t="s">
        <v>309</v>
      </c>
      <c r="D2" s="264"/>
      <c r="E2" s="264"/>
      <c r="F2" s="264"/>
      <c r="G2" s="264"/>
      <c r="H2" s="264"/>
      <c r="I2" s="264"/>
      <c r="J2" s="25"/>
    </row>
    <row r="3" spans="1:21" x14ac:dyDescent="0.2">
      <c r="A3" s="26"/>
      <c r="B3" s="26"/>
      <c r="C3" s="225" t="s">
        <v>23</v>
      </c>
      <c r="D3" s="225"/>
      <c r="E3" s="225"/>
      <c r="F3" s="225"/>
      <c r="G3" s="225"/>
      <c r="H3" s="225"/>
      <c r="I3" s="225"/>
      <c r="J3" s="26"/>
    </row>
    <row r="4" spans="1:21" x14ac:dyDescent="0.2">
      <c r="A4" s="26"/>
      <c r="B4" s="26"/>
      <c r="C4" s="265" t="s">
        <v>5</v>
      </c>
      <c r="D4" s="265"/>
      <c r="E4" s="265"/>
      <c r="F4" s="265"/>
      <c r="G4" s="265"/>
      <c r="H4" s="265"/>
      <c r="I4" s="265"/>
      <c r="J4" s="26"/>
    </row>
    <row r="5" spans="1:21" x14ac:dyDescent="0.2">
      <c r="A5" s="19"/>
      <c r="B5" s="19"/>
      <c r="C5" s="23" t="s">
        <v>6</v>
      </c>
      <c r="D5" s="278" t="str">
        <f>'Kops a'!D6</f>
        <v>DAUDZDZĪVOKĻU DZĪVOJAMĀ ĒKA</v>
      </c>
      <c r="E5" s="278"/>
      <c r="F5" s="278"/>
      <c r="G5" s="278"/>
      <c r="H5" s="278"/>
      <c r="I5" s="278"/>
      <c r="J5" s="278"/>
      <c r="K5" s="278"/>
      <c r="L5" s="278"/>
      <c r="M5" s="14"/>
      <c r="N5" s="14"/>
      <c r="O5" s="14"/>
      <c r="P5" s="14"/>
    </row>
    <row r="6" spans="1:21" x14ac:dyDescent="0.2">
      <c r="A6" s="19"/>
      <c r="B6" s="19"/>
      <c r="C6" s="23" t="s">
        <v>8</v>
      </c>
      <c r="D6" s="278" t="str">
        <f>'Kops a'!D7</f>
        <v>ENERGOEFEKTIVITĀTES PAAUGSTINĀŠANA DAUDZDZĪVOKĻU DZĪVOJAMAI ĒKAI</v>
      </c>
      <c r="E6" s="278"/>
      <c r="F6" s="278"/>
      <c r="G6" s="278"/>
      <c r="H6" s="278"/>
      <c r="I6" s="278"/>
      <c r="J6" s="278"/>
      <c r="K6" s="278"/>
      <c r="L6" s="278"/>
      <c r="M6" s="14"/>
      <c r="N6" s="14"/>
      <c r="O6" s="14"/>
      <c r="P6" s="14"/>
    </row>
    <row r="7" spans="1:21" x14ac:dyDescent="0.2">
      <c r="A7" s="19"/>
      <c r="B7" s="19"/>
      <c r="C7" s="23" t="s">
        <v>10</v>
      </c>
      <c r="D7" s="278" t="str">
        <f>'Kops a'!D8</f>
        <v>Mātera iela 23/25, Jelgava, ēkas kad. apz. 0900 001 0126 001</v>
      </c>
      <c r="E7" s="278"/>
      <c r="F7" s="278"/>
      <c r="G7" s="278"/>
      <c r="H7" s="278"/>
      <c r="I7" s="278"/>
      <c r="J7" s="278"/>
      <c r="K7" s="278"/>
      <c r="L7" s="278"/>
      <c r="M7" s="14"/>
      <c r="N7" s="14"/>
      <c r="O7" s="14"/>
      <c r="P7" s="14"/>
    </row>
    <row r="8" spans="1:21" x14ac:dyDescent="0.2">
      <c r="A8" s="19"/>
      <c r="B8" s="19"/>
      <c r="C8" s="210" t="s">
        <v>26</v>
      </c>
      <c r="D8" s="278">
        <f>'Kops a'!D9</f>
        <v>0</v>
      </c>
      <c r="E8" s="278"/>
      <c r="F8" s="278"/>
      <c r="G8" s="278"/>
      <c r="H8" s="278"/>
      <c r="I8" s="278"/>
      <c r="J8" s="278"/>
      <c r="K8" s="278"/>
      <c r="L8" s="278"/>
      <c r="M8" s="14"/>
      <c r="N8" s="14"/>
      <c r="O8" s="14"/>
      <c r="P8" s="14"/>
    </row>
    <row r="9" spans="1:21" ht="11.25" customHeight="1" x14ac:dyDescent="0.2">
      <c r="A9" s="266" t="s">
        <v>86</v>
      </c>
      <c r="B9" s="266"/>
      <c r="C9" s="266"/>
      <c r="D9" s="266"/>
      <c r="E9" s="266"/>
      <c r="F9" s="266"/>
      <c r="G9" s="27"/>
      <c r="H9" s="27"/>
      <c r="I9" s="27"/>
      <c r="J9" s="270" t="s">
        <v>42</v>
      </c>
      <c r="K9" s="270"/>
      <c r="L9" s="270"/>
      <c r="M9" s="270"/>
      <c r="N9" s="277">
        <f>P123</f>
        <v>0</v>
      </c>
      <c r="O9" s="277"/>
      <c r="P9" s="27"/>
    </row>
    <row r="10" spans="1:21" x14ac:dyDescent="0.2">
      <c r="A10" s="28"/>
      <c r="B10" s="29"/>
      <c r="C10" s="210"/>
      <c r="D10" s="19"/>
      <c r="E10" s="19"/>
      <c r="F10" s="19"/>
      <c r="G10" s="19"/>
      <c r="H10" s="19"/>
      <c r="I10" s="19"/>
      <c r="J10" s="19"/>
      <c r="K10" s="19"/>
      <c r="L10" s="25"/>
      <c r="M10" s="25"/>
      <c r="O10" s="73"/>
      <c r="P10" s="72" t="str">
        <f>A129</f>
        <v>Tāme sastādīta</v>
      </c>
    </row>
    <row r="11" spans="1:21" ht="10.8" thickBot="1" x14ac:dyDescent="0.25">
      <c r="A11" s="28"/>
      <c r="B11" s="29"/>
      <c r="C11" s="210"/>
      <c r="D11" s="19"/>
      <c r="E11" s="19"/>
      <c r="F11" s="19"/>
      <c r="G11" s="19"/>
      <c r="H11" s="19"/>
      <c r="I11" s="19"/>
      <c r="J11" s="19"/>
      <c r="K11" s="19"/>
      <c r="L11" s="30"/>
      <c r="M11" s="30"/>
      <c r="N11" s="31"/>
      <c r="O11" s="22"/>
      <c r="P11" s="19"/>
    </row>
    <row r="12" spans="1:21" x14ac:dyDescent="0.2">
      <c r="A12" s="236" t="s">
        <v>29</v>
      </c>
      <c r="B12" s="272" t="s">
        <v>43</v>
      </c>
      <c r="C12" s="268" t="s">
        <v>44</v>
      </c>
      <c r="D12" s="275" t="s">
        <v>45</v>
      </c>
      <c r="E12" s="279" t="s">
        <v>46</v>
      </c>
      <c r="F12" s="267" t="s">
        <v>47</v>
      </c>
      <c r="G12" s="268"/>
      <c r="H12" s="268"/>
      <c r="I12" s="268"/>
      <c r="J12" s="268"/>
      <c r="K12" s="269"/>
      <c r="L12" s="267" t="s">
        <v>48</v>
      </c>
      <c r="M12" s="268"/>
      <c r="N12" s="268"/>
      <c r="O12" s="268"/>
      <c r="P12" s="269"/>
    </row>
    <row r="13" spans="1:21" ht="126.75" customHeight="1" thickBot="1" x14ac:dyDescent="0.25">
      <c r="A13" s="271"/>
      <c r="B13" s="273"/>
      <c r="C13" s="274"/>
      <c r="D13" s="276"/>
      <c r="E13" s="280"/>
      <c r="F13" s="214" t="s">
        <v>49</v>
      </c>
      <c r="G13" s="215" t="s">
        <v>50</v>
      </c>
      <c r="H13" s="215" t="s">
        <v>51</v>
      </c>
      <c r="I13" s="215" t="s">
        <v>52</v>
      </c>
      <c r="J13" s="215" t="s">
        <v>53</v>
      </c>
      <c r="K13" s="51" t="s">
        <v>54</v>
      </c>
      <c r="L13" s="214" t="s">
        <v>49</v>
      </c>
      <c r="M13" s="215" t="s">
        <v>51</v>
      </c>
      <c r="N13" s="215" t="s">
        <v>52</v>
      </c>
      <c r="O13" s="215" t="s">
        <v>53</v>
      </c>
      <c r="P13" s="51" t="s">
        <v>54</v>
      </c>
    </row>
    <row r="14" spans="1:21" ht="13.2" x14ac:dyDescent="0.2">
      <c r="A14" s="165"/>
      <c r="B14" s="183"/>
      <c r="C14" s="167" t="s">
        <v>310</v>
      </c>
      <c r="D14" s="168"/>
      <c r="E14" s="169"/>
      <c r="F14" s="170"/>
      <c r="G14" s="171"/>
      <c r="H14" s="171"/>
      <c r="I14" s="171"/>
      <c r="J14" s="171"/>
      <c r="K14" s="171"/>
      <c r="L14" s="107"/>
      <c r="M14" s="93"/>
      <c r="N14" s="93"/>
      <c r="O14" s="93"/>
      <c r="P14" s="96"/>
    </row>
    <row r="15" spans="1:21" ht="13.2" x14ac:dyDescent="0.2">
      <c r="A15" s="160">
        <v>1</v>
      </c>
      <c r="B15" s="157" t="s">
        <v>56</v>
      </c>
      <c r="C15" s="161" t="s">
        <v>311</v>
      </c>
      <c r="D15" s="157" t="s">
        <v>70</v>
      </c>
      <c r="E15" s="162">
        <v>1110.3</v>
      </c>
      <c r="F15" s="133"/>
      <c r="G15" s="134"/>
      <c r="H15" s="135">
        <f>ROUND(F15*G15,2)</f>
        <v>0</v>
      </c>
      <c r="I15" s="134"/>
      <c r="J15" s="134"/>
      <c r="K15" s="134">
        <f t="shared" ref="K15:K40" si="0">ROUND(H15+J15+I15,2)</f>
        <v>0</v>
      </c>
      <c r="L15" s="105">
        <f>ROUND(E15*F15,2)</f>
        <v>0</v>
      </c>
      <c r="M15" s="87">
        <f>ROUND(E15*H15,2)</f>
        <v>0</v>
      </c>
      <c r="N15" s="87">
        <f>ROUND(E15*I15,2)</f>
        <v>0</v>
      </c>
      <c r="O15" s="87">
        <f>ROUND(E15*J15,2)</f>
        <v>0</v>
      </c>
      <c r="P15" s="88">
        <f t="shared" ref="P15" si="1">ROUND(O15+N15+M15,2)</f>
        <v>0</v>
      </c>
      <c r="R15" s="94"/>
      <c r="S15" s="94"/>
      <c r="T15" s="94"/>
      <c r="U15" s="94"/>
    </row>
    <row r="16" spans="1:21" ht="26.4" x14ac:dyDescent="0.2">
      <c r="A16" s="152">
        <v>2</v>
      </c>
      <c r="B16" s="174"/>
      <c r="C16" s="184" t="s">
        <v>312</v>
      </c>
      <c r="D16" s="155" t="s">
        <v>70</v>
      </c>
      <c r="E16" s="156">
        <f>E15*1.1</f>
        <v>1221.3300000000002</v>
      </c>
      <c r="F16" s="133"/>
      <c r="G16" s="134"/>
      <c r="H16" s="135"/>
      <c r="I16" s="134"/>
      <c r="J16" s="134"/>
      <c r="K16" s="134">
        <f t="shared" si="0"/>
        <v>0</v>
      </c>
      <c r="L16" s="105">
        <f t="shared" ref="L16:L78" si="2">ROUND(E16*F16,2)</f>
        <v>0</v>
      </c>
      <c r="M16" s="87">
        <f t="shared" ref="M16:M78" si="3">ROUND(E16*H16,2)</f>
        <v>0</v>
      </c>
      <c r="N16" s="87">
        <f t="shared" ref="N16:N78" si="4">ROUND(E16*I16,2)</f>
        <v>0</v>
      </c>
      <c r="O16" s="87">
        <f t="shared" ref="O16:O78" si="5">ROUND(E16*J16,2)</f>
        <v>0</v>
      </c>
      <c r="P16" s="88">
        <f t="shared" ref="P16:P78" si="6">ROUND(O16+N16+M16,2)</f>
        <v>0</v>
      </c>
    </row>
    <row r="17" spans="1:25" ht="13.2" x14ac:dyDescent="0.2">
      <c r="A17" s="152">
        <v>3</v>
      </c>
      <c r="B17" s="185"/>
      <c r="C17" s="184" t="s">
        <v>313</v>
      </c>
      <c r="D17" s="155" t="s">
        <v>70</v>
      </c>
      <c r="E17" s="156">
        <f>E15</f>
        <v>1110.3</v>
      </c>
      <c r="F17" s="133"/>
      <c r="G17" s="134"/>
      <c r="H17" s="135"/>
      <c r="I17" s="134"/>
      <c r="J17" s="134"/>
      <c r="K17" s="134">
        <f t="shared" si="0"/>
        <v>0</v>
      </c>
      <c r="L17" s="105">
        <f t="shared" si="2"/>
        <v>0</v>
      </c>
      <c r="M17" s="87">
        <f t="shared" si="3"/>
        <v>0</v>
      </c>
      <c r="N17" s="87">
        <f t="shared" si="4"/>
        <v>0</v>
      </c>
      <c r="O17" s="87">
        <f t="shared" si="5"/>
        <v>0</v>
      </c>
      <c r="P17" s="88">
        <f t="shared" si="6"/>
        <v>0</v>
      </c>
    </row>
    <row r="18" spans="1:25" ht="13.2" x14ac:dyDescent="0.2">
      <c r="A18" s="160">
        <v>4</v>
      </c>
      <c r="B18" s="174" t="s">
        <v>56</v>
      </c>
      <c r="C18" s="154" t="s">
        <v>314</v>
      </c>
      <c r="D18" s="155" t="s">
        <v>70</v>
      </c>
      <c r="E18" s="156">
        <f>E15</f>
        <v>1110.3</v>
      </c>
      <c r="F18" s="133"/>
      <c r="G18" s="134"/>
      <c r="H18" s="135">
        <f>ROUND(F18*G18,2)</f>
        <v>0</v>
      </c>
      <c r="I18" s="134"/>
      <c r="J18" s="134"/>
      <c r="K18" s="134">
        <f t="shared" si="0"/>
        <v>0</v>
      </c>
      <c r="L18" s="105">
        <f t="shared" si="2"/>
        <v>0</v>
      </c>
      <c r="M18" s="87">
        <f t="shared" si="3"/>
        <v>0</v>
      </c>
      <c r="N18" s="87">
        <f t="shared" si="4"/>
        <v>0</v>
      </c>
      <c r="O18" s="87">
        <f t="shared" si="5"/>
        <v>0</v>
      </c>
      <c r="P18" s="88">
        <f t="shared" si="6"/>
        <v>0</v>
      </c>
    </row>
    <row r="19" spans="1:25" ht="13.2" x14ac:dyDescent="0.2">
      <c r="A19" s="152">
        <v>5</v>
      </c>
      <c r="B19" s="174"/>
      <c r="C19" s="184" t="s">
        <v>315</v>
      </c>
      <c r="D19" s="155" t="s">
        <v>105</v>
      </c>
      <c r="E19" s="156">
        <f>E18*0.0166622*1.15</f>
        <v>21.275046758999995</v>
      </c>
      <c r="F19" s="133"/>
      <c r="G19" s="134"/>
      <c r="H19" s="135"/>
      <c r="I19" s="134"/>
      <c r="J19" s="134"/>
      <c r="K19" s="134">
        <f t="shared" si="0"/>
        <v>0</v>
      </c>
      <c r="L19" s="105">
        <f t="shared" si="2"/>
        <v>0</v>
      </c>
      <c r="M19" s="87">
        <f t="shared" si="3"/>
        <v>0</v>
      </c>
      <c r="N19" s="87">
        <f t="shared" si="4"/>
        <v>0</v>
      </c>
      <c r="O19" s="87">
        <f t="shared" si="5"/>
        <v>0</v>
      </c>
      <c r="P19" s="88">
        <f t="shared" si="6"/>
        <v>0</v>
      </c>
    </row>
    <row r="20" spans="1:25" ht="13.2" x14ac:dyDescent="0.2">
      <c r="A20" s="152">
        <v>6</v>
      </c>
      <c r="B20" s="157"/>
      <c r="C20" s="164" t="s">
        <v>316</v>
      </c>
      <c r="D20" s="157" t="s">
        <v>70</v>
      </c>
      <c r="E20" s="162">
        <f>E18</f>
        <v>1110.3</v>
      </c>
      <c r="F20" s="133"/>
      <c r="G20" s="134"/>
      <c r="H20" s="135"/>
      <c r="I20" s="134"/>
      <c r="J20" s="134"/>
      <c r="K20" s="134">
        <f t="shared" si="0"/>
        <v>0</v>
      </c>
      <c r="L20" s="105">
        <f t="shared" si="2"/>
        <v>0</v>
      </c>
      <c r="M20" s="87">
        <f t="shared" si="3"/>
        <v>0</v>
      </c>
      <c r="N20" s="87">
        <f t="shared" si="4"/>
        <v>0</v>
      </c>
      <c r="O20" s="87">
        <f t="shared" si="5"/>
        <v>0</v>
      </c>
      <c r="P20" s="88">
        <f t="shared" si="6"/>
        <v>0</v>
      </c>
    </row>
    <row r="21" spans="1:25" ht="13.2" x14ac:dyDescent="0.2">
      <c r="A21" s="160">
        <v>7</v>
      </c>
      <c r="B21" s="174" t="s">
        <v>56</v>
      </c>
      <c r="C21" s="154" t="s">
        <v>317</v>
      </c>
      <c r="D21" s="155" t="s">
        <v>70</v>
      </c>
      <c r="E21" s="156">
        <f>E18</f>
        <v>1110.3</v>
      </c>
      <c r="F21" s="133"/>
      <c r="G21" s="134"/>
      <c r="H21" s="135">
        <f>ROUND(F21*G21,2)</f>
        <v>0</v>
      </c>
      <c r="I21" s="134"/>
      <c r="J21" s="134"/>
      <c r="K21" s="134">
        <f t="shared" si="0"/>
        <v>0</v>
      </c>
      <c r="L21" s="105">
        <f t="shared" si="2"/>
        <v>0</v>
      </c>
      <c r="M21" s="87">
        <f t="shared" si="3"/>
        <v>0</v>
      </c>
      <c r="N21" s="87">
        <f t="shared" si="4"/>
        <v>0</v>
      </c>
      <c r="O21" s="87">
        <f t="shared" si="5"/>
        <v>0</v>
      </c>
      <c r="P21" s="88">
        <f t="shared" si="6"/>
        <v>0</v>
      </c>
    </row>
    <row r="22" spans="1:25" ht="13.2" x14ac:dyDescent="0.2">
      <c r="A22" s="152">
        <v>8</v>
      </c>
      <c r="B22" s="174"/>
      <c r="C22" s="184" t="s">
        <v>318</v>
      </c>
      <c r="D22" s="155" t="s">
        <v>105</v>
      </c>
      <c r="E22" s="156">
        <f>E21*0.0042*1.15</f>
        <v>5.3627489999999991</v>
      </c>
      <c r="F22" s="133"/>
      <c r="G22" s="134"/>
      <c r="H22" s="135"/>
      <c r="I22" s="134"/>
      <c r="J22" s="134"/>
      <c r="K22" s="134">
        <f t="shared" si="0"/>
        <v>0</v>
      </c>
      <c r="L22" s="105">
        <f t="shared" si="2"/>
        <v>0</v>
      </c>
      <c r="M22" s="87">
        <f t="shared" si="3"/>
        <v>0</v>
      </c>
      <c r="N22" s="87">
        <f t="shared" si="4"/>
        <v>0</v>
      </c>
      <c r="O22" s="87">
        <f t="shared" si="5"/>
        <v>0</v>
      </c>
      <c r="P22" s="88">
        <f t="shared" si="6"/>
        <v>0</v>
      </c>
    </row>
    <row r="23" spans="1:25" ht="13.2" x14ac:dyDescent="0.2">
      <c r="A23" s="152">
        <v>9</v>
      </c>
      <c r="B23" s="157"/>
      <c r="C23" s="164" t="s">
        <v>316</v>
      </c>
      <c r="D23" s="157" t="s">
        <v>70</v>
      </c>
      <c r="E23" s="162">
        <f>E21</f>
        <v>1110.3</v>
      </c>
      <c r="F23" s="133"/>
      <c r="G23" s="134"/>
      <c r="H23" s="135"/>
      <c r="I23" s="134"/>
      <c r="J23" s="134"/>
      <c r="K23" s="134">
        <f t="shared" si="0"/>
        <v>0</v>
      </c>
      <c r="L23" s="105">
        <f t="shared" si="2"/>
        <v>0</v>
      </c>
      <c r="M23" s="87">
        <f t="shared" si="3"/>
        <v>0</v>
      </c>
      <c r="N23" s="87">
        <f t="shared" si="4"/>
        <v>0</v>
      </c>
      <c r="O23" s="87">
        <f t="shared" si="5"/>
        <v>0</v>
      </c>
      <c r="P23" s="88">
        <f t="shared" si="6"/>
        <v>0</v>
      </c>
    </row>
    <row r="24" spans="1:25" ht="13.2" x14ac:dyDescent="0.2">
      <c r="A24" s="160">
        <v>10</v>
      </c>
      <c r="B24" s="174" t="s">
        <v>56</v>
      </c>
      <c r="C24" s="154" t="s">
        <v>319</v>
      </c>
      <c r="D24" s="155" t="s">
        <v>70</v>
      </c>
      <c r="E24" s="156">
        <f>E21</f>
        <v>1110.3</v>
      </c>
      <c r="F24" s="133"/>
      <c r="G24" s="134"/>
      <c r="H24" s="135">
        <f>ROUND(F24*G24,2)</f>
        <v>0</v>
      </c>
      <c r="I24" s="134"/>
      <c r="J24" s="134"/>
      <c r="K24" s="134">
        <f t="shared" si="0"/>
        <v>0</v>
      </c>
      <c r="L24" s="105">
        <f t="shared" si="2"/>
        <v>0</v>
      </c>
      <c r="M24" s="87">
        <f t="shared" si="3"/>
        <v>0</v>
      </c>
      <c r="N24" s="87">
        <f t="shared" si="4"/>
        <v>0</v>
      </c>
      <c r="O24" s="87">
        <f t="shared" si="5"/>
        <v>0</v>
      </c>
      <c r="P24" s="88">
        <f t="shared" si="6"/>
        <v>0</v>
      </c>
    </row>
    <row r="25" spans="1:25" ht="13.2" x14ac:dyDescent="0.2">
      <c r="A25" s="152">
        <v>11</v>
      </c>
      <c r="B25" s="174"/>
      <c r="C25" s="184" t="s">
        <v>320</v>
      </c>
      <c r="D25" s="155" t="s">
        <v>70</v>
      </c>
      <c r="E25" s="156">
        <f>E24*1.2</f>
        <v>1332.36</v>
      </c>
      <c r="F25" s="133"/>
      <c r="G25" s="134"/>
      <c r="H25" s="135"/>
      <c r="I25" s="134"/>
      <c r="J25" s="134"/>
      <c r="K25" s="134">
        <f t="shared" si="0"/>
        <v>0</v>
      </c>
      <c r="L25" s="105">
        <f t="shared" si="2"/>
        <v>0</v>
      </c>
      <c r="M25" s="87">
        <f t="shared" si="3"/>
        <v>0</v>
      </c>
      <c r="N25" s="87">
        <f t="shared" si="4"/>
        <v>0</v>
      </c>
      <c r="O25" s="87">
        <f t="shared" si="5"/>
        <v>0</v>
      </c>
      <c r="P25" s="88">
        <f t="shared" si="6"/>
        <v>0</v>
      </c>
    </row>
    <row r="26" spans="1:25" ht="13.2" x14ac:dyDescent="0.2">
      <c r="A26" s="152">
        <v>12</v>
      </c>
      <c r="B26" s="157"/>
      <c r="C26" s="164" t="s">
        <v>316</v>
      </c>
      <c r="D26" s="157" t="s">
        <v>70</v>
      </c>
      <c r="E26" s="162">
        <f>E24</f>
        <v>1110.3</v>
      </c>
      <c r="F26" s="133"/>
      <c r="G26" s="134"/>
      <c r="H26" s="135"/>
      <c r="I26" s="134"/>
      <c r="J26" s="134"/>
      <c r="K26" s="134">
        <f t="shared" si="0"/>
        <v>0</v>
      </c>
      <c r="L26" s="105">
        <f t="shared" si="2"/>
        <v>0</v>
      </c>
      <c r="M26" s="87">
        <f t="shared" si="3"/>
        <v>0</v>
      </c>
      <c r="N26" s="87">
        <f t="shared" si="4"/>
        <v>0</v>
      </c>
      <c r="O26" s="87">
        <f t="shared" si="5"/>
        <v>0</v>
      </c>
      <c r="P26" s="88">
        <f t="shared" si="6"/>
        <v>0</v>
      </c>
    </row>
    <row r="27" spans="1:25" ht="13.2" x14ac:dyDescent="0.2">
      <c r="A27" s="160">
        <v>13</v>
      </c>
      <c r="B27" s="174" t="s">
        <v>56</v>
      </c>
      <c r="C27" s="154" t="s">
        <v>321</v>
      </c>
      <c r="D27" s="155" t="s">
        <v>58</v>
      </c>
      <c r="E27" s="156">
        <v>188</v>
      </c>
      <c r="F27" s="133"/>
      <c r="G27" s="134"/>
      <c r="H27" s="135">
        <f t="shared" ref="H27:H37" si="7">ROUND(F27*G27,2)</f>
        <v>0</v>
      </c>
      <c r="I27" s="134"/>
      <c r="J27" s="134"/>
      <c r="K27" s="134">
        <f t="shared" si="0"/>
        <v>0</v>
      </c>
      <c r="L27" s="105">
        <f t="shared" si="2"/>
        <v>0</v>
      </c>
      <c r="M27" s="87">
        <f t="shared" si="3"/>
        <v>0</v>
      </c>
      <c r="N27" s="87">
        <f t="shared" si="4"/>
        <v>0</v>
      </c>
      <c r="O27" s="87">
        <f t="shared" si="5"/>
        <v>0</v>
      </c>
      <c r="P27" s="88">
        <f t="shared" si="6"/>
        <v>0</v>
      </c>
    </row>
    <row r="28" spans="1:25" ht="26.4" x14ac:dyDescent="0.2">
      <c r="A28" s="152">
        <v>14</v>
      </c>
      <c r="B28" s="174" t="s">
        <v>56</v>
      </c>
      <c r="C28" s="154" t="s">
        <v>322</v>
      </c>
      <c r="D28" s="155" t="s">
        <v>58</v>
      </c>
      <c r="E28" s="156">
        <v>184</v>
      </c>
      <c r="F28" s="133"/>
      <c r="G28" s="134"/>
      <c r="H28" s="135">
        <f t="shared" si="7"/>
        <v>0</v>
      </c>
      <c r="I28" s="134"/>
      <c r="J28" s="134"/>
      <c r="K28" s="134">
        <f t="shared" si="0"/>
        <v>0</v>
      </c>
      <c r="L28" s="105">
        <f t="shared" si="2"/>
        <v>0</v>
      </c>
      <c r="M28" s="87">
        <f t="shared" si="3"/>
        <v>0</v>
      </c>
      <c r="N28" s="87">
        <f t="shared" si="4"/>
        <v>0</v>
      </c>
      <c r="O28" s="87">
        <f t="shared" si="5"/>
        <v>0</v>
      </c>
      <c r="P28" s="88">
        <f t="shared" si="6"/>
        <v>0</v>
      </c>
    </row>
    <row r="29" spans="1:25" ht="13.2" x14ac:dyDescent="0.2">
      <c r="A29" s="152">
        <v>15</v>
      </c>
      <c r="B29" s="174" t="s">
        <v>56</v>
      </c>
      <c r="C29" s="154" t="s">
        <v>323</v>
      </c>
      <c r="D29" s="155" t="s">
        <v>62</v>
      </c>
      <c r="E29" s="156">
        <v>5</v>
      </c>
      <c r="F29" s="133"/>
      <c r="G29" s="134"/>
      <c r="H29" s="135">
        <f t="shared" si="7"/>
        <v>0</v>
      </c>
      <c r="I29" s="134"/>
      <c r="J29" s="134"/>
      <c r="K29" s="134">
        <f t="shared" si="0"/>
        <v>0</v>
      </c>
      <c r="L29" s="105">
        <f t="shared" si="2"/>
        <v>0</v>
      </c>
      <c r="M29" s="87">
        <f t="shared" si="3"/>
        <v>0</v>
      </c>
      <c r="N29" s="87">
        <f t="shared" si="4"/>
        <v>0</v>
      </c>
      <c r="O29" s="87">
        <f t="shared" si="5"/>
        <v>0</v>
      </c>
      <c r="P29" s="88">
        <f t="shared" si="6"/>
        <v>0</v>
      </c>
    </row>
    <row r="30" spans="1:25" ht="26.4" x14ac:dyDescent="0.2">
      <c r="A30" s="160">
        <v>16</v>
      </c>
      <c r="B30" s="174" t="s">
        <v>56</v>
      </c>
      <c r="C30" s="154" t="s">
        <v>324</v>
      </c>
      <c r="D30" s="155" t="s">
        <v>58</v>
      </c>
      <c r="E30" s="156">
        <v>92.1</v>
      </c>
      <c r="F30" s="133"/>
      <c r="G30" s="134"/>
      <c r="H30" s="135">
        <f t="shared" si="7"/>
        <v>0</v>
      </c>
      <c r="I30" s="134"/>
      <c r="J30" s="134"/>
      <c r="K30" s="134">
        <f t="shared" si="0"/>
        <v>0</v>
      </c>
      <c r="L30" s="105">
        <f t="shared" si="2"/>
        <v>0</v>
      </c>
      <c r="M30" s="87">
        <f t="shared" si="3"/>
        <v>0</v>
      </c>
      <c r="N30" s="87">
        <f t="shared" si="4"/>
        <v>0</v>
      </c>
      <c r="O30" s="87">
        <f t="shared" si="5"/>
        <v>0</v>
      </c>
      <c r="P30" s="88">
        <f t="shared" si="6"/>
        <v>0</v>
      </c>
      <c r="Q30" s="288"/>
      <c r="R30" s="289"/>
      <c r="S30" s="289"/>
      <c r="T30" s="289"/>
      <c r="U30" s="289"/>
      <c r="V30" s="289"/>
      <c r="W30" s="289"/>
      <c r="X30" s="289"/>
      <c r="Y30" s="289"/>
    </row>
    <row r="31" spans="1:25" ht="26.4" x14ac:dyDescent="0.2">
      <c r="A31" s="152">
        <v>17</v>
      </c>
      <c r="B31" s="174" t="s">
        <v>56</v>
      </c>
      <c r="C31" s="154" t="s">
        <v>325</v>
      </c>
      <c r="D31" s="155" t="s">
        <v>58</v>
      </c>
      <c r="E31" s="156">
        <v>184.2</v>
      </c>
      <c r="F31" s="133"/>
      <c r="G31" s="134"/>
      <c r="H31" s="135">
        <f t="shared" si="7"/>
        <v>0</v>
      </c>
      <c r="I31" s="134"/>
      <c r="J31" s="134"/>
      <c r="K31" s="134">
        <f t="shared" si="0"/>
        <v>0</v>
      </c>
      <c r="L31" s="105">
        <f t="shared" si="2"/>
        <v>0</v>
      </c>
      <c r="M31" s="87">
        <f t="shared" si="3"/>
        <v>0</v>
      </c>
      <c r="N31" s="87">
        <f t="shared" si="4"/>
        <v>0</v>
      </c>
      <c r="O31" s="87">
        <f t="shared" si="5"/>
        <v>0</v>
      </c>
      <c r="P31" s="88">
        <f t="shared" si="6"/>
        <v>0</v>
      </c>
      <c r="R31" s="94"/>
      <c r="S31" s="94"/>
      <c r="T31" s="94"/>
    </row>
    <row r="32" spans="1:25" ht="26.4" x14ac:dyDescent="0.2">
      <c r="A32" s="152">
        <v>18</v>
      </c>
      <c r="B32" s="174" t="s">
        <v>56</v>
      </c>
      <c r="C32" s="154" t="s">
        <v>326</v>
      </c>
      <c r="D32" s="155" t="s">
        <v>58</v>
      </c>
      <c r="E32" s="156">
        <v>46</v>
      </c>
      <c r="F32" s="133"/>
      <c r="G32" s="134"/>
      <c r="H32" s="135">
        <f t="shared" si="7"/>
        <v>0</v>
      </c>
      <c r="I32" s="134"/>
      <c r="J32" s="134"/>
      <c r="K32" s="134">
        <f t="shared" si="0"/>
        <v>0</v>
      </c>
      <c r="L32" s="105">
        <f t="shared" si="2"/>
        <v>0</v>
      </c>
      <c r="M32" s="87">
        <f t="shared" si="3"/>
        <v>0</v>
      </c>
      <c r="N32" s="87">
        <f t="shared" si="4"/>
        <v>0</v>
      </c>
      <c r="O32" s="87">
        <f t="shared" si="5"/>
        <v>0</v>
      </c>
      <c r="P32" s="88">
        <f t="shared" si="6"/>
        <v>0</v>
      </c>
    </row>
    <row r="33" spans="1:25" ht="26.4" x14ac:dyDescent="0.2">
      <c r="A33" s="160">
        <v>19</v>
      </c>
      <c r="B33" s="174" t="s">
        <v>56</v>
      </c>
      <c r="C33" s="154" t="s">
        <v>327</v>
      </c>
      <c r="D33" s="155" t="s">
        <v>58</v>
      </c>
      <c r="E33" s="156">
        <v>166.6</v>
      </c>
      <c r="F33" s="133"/>
      <c r="G33" s="134"/>
      <c r="H33" s="135">
        <f t="shared" si="7"/>
        <v>0</v>
      </c>
      <c r="I33" s="134"/>
      <c r="J33" s="134"/>
      <c r="K33" s="134">
        <f t="shared" si="0"/>
        <v>0</v>
      </c>
      <c r="L33" s="105">
        <f t="shared" si="2"/>
        <v>0</v>
      </c>
      <c r="M33" s="87">
        <f t="shared" si="3"/>
        <v>0</v>
      </c>
      <c r="N33" s="87">
        <f t="shared" si="4"/>
        <v>0</v>
      </c>
      <c r="O33" s="87">
        <f t="shared" si="5"/>
        <v>0</v>
      </c>
      <c r="P33" s="88">
        <f t="shared" si="6"/>
        <v>0</v>
      </c>
    </row>
    <row r="34" spans="1:25" ht="26.4" x14ac:dyDescent="0.2">
      <c r="A34" s="152">
        <v>20</v>
      </c>
      <c r="B34" s="174" t="s">
        <v>56</v>
      </c>
      <c r="C34" s="154" t="s">
        <v>328</v>
      </c>
      <c r="D34" s="155" t="s">
        <v>70</v>
      </c>
      <c r="E34" s="156">
        <v>14.3</v>
      </c>
      <c r="F34" s="133"/>
      <c r="G34" s="134"/>
      <c r="H34" s="135">
        <f t="shared" si="7"/>
        <v>0</v>
      </c>
      <c r="I34" s="134"/>
      <c r="J34" s="134"/>
      <c r="K34" s="134">
        <f t="shared" si="0"/>
        <v>0</v>
      </c>
      <c r="L34" s="105">
        <f t="shared" si="2"/>
        <v>0</v>
      </c>
      <c r="M34" s="87">
        <f t="shared" si="3"/>
        <v>0</v>
      </c>
      <c r="N34" s="87">
        <f t="shared" si="4"/>
        <v>0</v>
      </c>
      <c r="O34" s="87">
        <f t="shared" si="5"/>
        <v>0</v>
      </c>
      <c r="P34" s="88">
        <f t="shared" si="6"/>
        <v>0</v>
      </c>
    </row>
    <row r="35" spans="1:25" ht="26.4" x14ac:dyDescent="0.2">
      <c r="A35" s="152">
        <v>21</v>
      </c>
      <c r="B35" s="174" t="s">
        <v>56</v>
      </c>
      <c r="C35" s="154" t="s">
        <v>327</v>
      </c>
      <c r="D35" s="155" t="s">
        <v>58</v>
      </c>
      <c r="E35" s="156">
        <f>48*2+49*0.3</f>
        <v>110.7</v>
      </c>
      <c r="F35" s="133"/>
      <c r="G35" s="134"/>
      <c r="H35" s="135">
        <f t="shared" si="7"/>
        <v>0</v>
      </c>
      <c r="I35" s="134"/>
      <c r="J35" s="134"/>
      <c r="K35" s="134">
        <f t="shared" si="0"/>
        <v>0</v>
      </c>
      <c r="L35" s="105">
        <f t="shared" si="2"/>
        <v>0</v>
      </c>
      <c r="M35" s="87">
        <f t="shared" si="3"/>
        <v>0</v>
      </c>
      <c r="N35" s="87">
        <f t="shared" si="4"/>
        <v>0</v>
      </c>
      <c r="O35" s="87">
        <f t="shared" si="5"/>
        <v>0</v>
      </c>
      <c r="P35" s="88">
        <f t="shared" si="6"/>
        <v>0</v>
      </c>
    </row>
    <row r="36" spans="1:25" ht="26.4" x14ac:dyDescent="0.2">
      <c r="A36" s="160">
        <v>22</v>
      </c>
      <c r="B36" s="174" t="s">
        <v>56</v>
      </c>
      <c r="C36" s="154" t="s">
        <v>329</v>
      </c>
      <c r="D36" s="155" t="s">
        <v>58</v>
      </c>
      <c r="E36" s="156">
        <v>184</v>
      </c>
      <c r="F36" s="133"/>
      <c r="G36" s="134"/>
      <c r="H36" s="135">
        <f t="shared" si="7"/>
        <v>0</v>
      </c>
      <c r="I36" s="134"/>
      <c r="J36" s="134"/>
      <c r="K36" s="134">
        <f t="shared" si="0"/>
        <v>0</v>
      </c>
      <c r="L36" s="105">
        <f t="shared" si="2"/>
        <v>0</v>
      </c>
      <c r="M36" s="87">
        <f t="shared" si="3"/>
        <v>0</v>
      </c>
      <c r="N36" s="87">
        <f t="shared" si="4"/>
        <v>0</v>
      </c>
      <c r="O36" s="87">
        <f t="shared" si="5"/>
        <v>0</v>
      </c>
      <c r="P36" s="88">
        <f t="shared" si="6"/>
        <v>0</v>
      </c>
    </row>
    <row r="37" spans="1:25" ht="26.4" x14ac:dyDescent="0.2">
      <c r="A37" s="152">
        <v>23</v>
      </c>
      <c r="B37" s="174" t="s">
        <v>56</v>
      </c>
      <c r="C37" s="154" t="s">
        <v>330</v>
      </c>
      <c r="D37" s="155" t="s">
        <v>58</v>
      </c>
      <c r="E37" s="156">
        <v>215.6</v>
      </c>
      <c r="F37" s="133"/>
      <c r="G37" s="134"/>
      <c r="H37" s="135">
        <f t="shared" si="7"/>
        <v>0</v>
      </c>
      <c r="I37" s="134"/>
      <c r="J37" s="134"/>
      <c r="K37" s="134">
        <f t="shared" si="0"/>
        <v>0</v>
      </c>
      <c r="L37" s="105">
        <f t="shared" si="2"/>
        <v>0</v>
      </c>
      <c r="M37" s="87">
        <f t="shared" si="3"/>
        <v>0</v>
      </c>
      <c r="N37" s="87">
        <f t="shared" si="4"/>
        <v>0</v>
      </c>
      <c r="O37" s="87">
        <f t="shared" si="5"/>
        <v>0</v>
      </c>
      <c r="P37" s="88">
        <f t="shared" si="6"/>
        <v>0</v>
      </c>
      <c r="Q37" s="288"/>
      <c r="R37" s="289"/>
      <c r="S37" s="289"/>
      <c r="T37" s="289"/>
      <c r="U37" s="289"/>
      <c r="V37" s="289"/>
      <c r="W37" s="289"/>
      <c r="X37" s="289"/>
      <c r="Y37" s="289"/>
    </row>
    <row r="38" spans="1:25" ht="13.2" x14ac:dyDescent="0.2">
      <c r="A38" s="160">
        <v>24</v>
      </c>
      <c r="B38" s="157" t="s">
        <v>56</v>
      </c>
      <c r="C38" s="161" t="s">
        <v>331</v>
      </c>
      <c r="D38" s="157" t="s">
        <v>60</v>
      </c>
      <c r="E38" s="162">
        <v>1</v>
      </c>
      <c r="F38" s="133"/>
      <c r="G38" s="134"/>
      <c r="H38" s="135"/>
      <c r="I38" s="134"/>
      <c r="J38" s="134"/>
      <c r="K38" s="134">
        <f t="shared" si="0"/>
        <v>0</v>
      </c>
      <c r="L38" s="105">
        <f t="shared" si="2"/>
        <v>0</v>
      </c>
      <c r="M38" s="87">
        <f t="shared" si="3"/>
        <v>0</v>
      </c>
      <c r="N38" s="87">
        <f t="shared" si="4"/>
        <v>0</v>
      </c>
      <c r="O38" s="87">
        <f t="shared" si="5"/>
        <v>0</v>
      </c>
      <c r="P38" s="88">
        <f t="shared" si="6"/>
        <v>0</v>
      </c>
    </row>
    <row r="39" spans="1:25" ht="26.4" x14ac:dyDescent="0.2">
      <c r="A39" s="152">
        <v>25</v>
      </c>
      <c r="B39" s="174" t="s">
        <v>56</v>
      </c>
      <c r="C39" s="154" t="s">
        <v>332</v>
      </c>
      <c r="D39" s="155" t="s">
        <v>333</v>
      </c>
      <c r="E39" s="156">
        <v>40</v>
      </c>
      <c r="F39" s="133"/>
      <c r="G39" s="134"/>
      <c r="H39" s="135"/>
      <c r="I39" s="134"/>
      <c r="J39" s="134"/>
      <c r="K39" s="134">
        <f t="shared" si="0"/>
        <v>0</v>
      </c>
      <c r="L39" s="105">
        <f t="shared" si="2"/>
        <v>0</v>
      </c>
      <c r="M39" s="87">
        <f t="shared" si="3"/>
        <v>0</v>
      </c>
      <c r="N39" s="87">
        <f t="shared" si="4"/>
        <v>0</v>
      </c>
      <c r="O39" s="87">
        <f t="shared" si="5"/>
        <v>0</v>
      </c>
      <c r="P39" s="88">
        <f t="shared" si="6"/>
        <v>0</v>
      </c>
    </row>
    <row r="40" spans="1:25" ht="26.4" x14ac:dyDescent="0.2">
      <c r="A40" s="160">
        <v>26</v>
      </c>
      <c r="B40" s="174" t="s">
        <v>56</v>
      </c>
      <c r="C40" s="154" t="s">
        <v>334</v>
      </c>
      <c r="D40" s="155" t="s">
        <v>60</v>
      </c>
      <c r="E40" s="156">
        <v>1</v>
      </c>
      <c r="F40" s="133"/>
      <c r="G40" s="134"/>
      <c r="H40" s="135">
        <f>ROUND(F40*G40,2)</f>
        <v>0</v>
      </c>
      <c r="I40" s="134"/>
      <c r="J40" s="134"/>
      <c r="K40" s="134">
        <f t="shared" si="0"/>
        <v>0</v>
      </c>
      <c r="L40" s="105">
        <f t="shared" si="2"/>
        <v>0</v>
      </c>
      <c r="M40" s="87">
        <f t="shared" si="3"/>
        <v>0</v>
      </c>
      <c r="N40" s="87">
        <f t="shared" si="4"/>
        <v>0</v>
      </c>
      <c r="O40" s="87">
        <f t="shared" si="5"/>
        <v>0</v>
      </c>
      <c r="P40" s="88">
        <f t="shared" si="6"/>
        <v>0</v>
      </c>
    </row>
    <row r="41" spans="1:25" ht="26.4" x14ac:dyDescent="0.2">
      <c r="A41" s="137"/>
      <c r="B41" s="138"/>
      <c r="C41" s="139" t="s">
        <v>335</v>
      </c>
      <c r="D41" s="140"/>
      <c r="E41" s="141"/>
      <c r="F41" s="142"/>
      <c r="G41" s="143"/>
      <c r="H41" s="143"/>
      <c r="I41" s="143"/>
      <c r="J41" s="143"/>
      <c r="K41" s="143"/>
      <c r="L41" s="105"/>
      <c r="M41" s="87"/>
      <c r="N41" s="87"/>
      <c r="O41" s="87"/>
      <c r="P41" s="88"/>
    </row>
    <row r="42" spans="1:25" ht="26.4" x14ac:dyDescent="0.2">
      <c r="A42" s="152">
        <v>1</v>
      </c>
      <c r="B42" s="174" t="s">
        <v>56</v>
      </c>
      <c r="C42" s="154" t="s">
        <v>336</v>
      </c>
      <c r="D42" s="155" t="s">
        <v>105</v>
      </c>
      <c r="E42" s="156">
        <v>14.1</v>
      </c>
      <c r="F42" s="133"/>
      <c r="G42" s="134"/>
      <c r="H42" s="135">
        <f>ROUND(F42*G42,2)</f>
        <v>0</v>
      </c>
      <c r="I42" s="134"/>
      <c r="J42" s="134"/>
      <c r="K42" s="134">
        <f t="shared" ref="K42:K53" si="8">ROUND(H42+J42+I42,2)</f>
        <v>0</v>
      </c>
      <c r="L42" s="105">
        <f t="shared" si="2"/>
        <v>0</v>
      </c>
      <c r="M42" s="87">
        <f t="shared" si="3"/>
        <v>0</v>
      </c>
      <c r="N42" s="87">
        <f t="shared" si="4"/>
        <v>0</v>
      </c>
      <c r="O42" s="87">
        <f t="shared" si="5"/>
        <v>0</v>
      </c>
      <c r="P42" s="88">
        <f t="shared" si="6"/>
        <v>0</v>
      </c>
    </row>
    <row r="43" spans="1:25" ht="13.2" x14ac:dyDescent="0.2">
      <c r="A43" s="152">
        <v>2</v>
      </c>
      <c r="B43" s="174"/>
      <c r="C43" s="184" t="s">
        <v>337</v>
      </c>
      <c r="D43" s="155" t="s">
        <v>62</v>
      </c>
      <c r="E43" s="156">
        <f>ROUND(E42*400,0)</f>
        <v>5640</v>
      </c>
      <c r="F43" s="133"/>
      <c r="G43" s="134"/>
      <c r="H43" s="135"/>
      <c r="I43" s="134"/>
      <c r="J43" s="134"/>
      <c r="K43" s="134">
        <f t="shared" si="8"/>
        <v>0</v>
      </c>
      <c r="L43" s="105">
        <f t="shared" si="2"/>
        <v>0</v>
      </c>
      <c r="M43" s="87">
        <f t="shared" si="3"/>
        <v>0</v>
      </c>
      <c r="N43" s="87">
        <f t="shared" si="4"/>
        <v>0</v>
      </c>
      <c r="O43" s="87">
        <f t="shared" si="5"/>
        <v>0</v>
      </c>
      <c r="P43" s="88">
        <f t="shared" si="6"/>
        <v>0</v>
      </c>
      <c r="Q43" s="288"/>
      <c r="R43" s="289"/>
      <c r="S43" s="289"/>
      <c r="T43" s="289"/>
      <c r="U43" s="289"/>
      <c r="V43" s="289"/>
      <c r="W43" s="289"/>
      <c r="X43" s="289"/>
      <c r="Y43" s="289"/>
    </row>
    <row r="44" spans="1:25" ht="13.2" x14ac:dyDescent="0.2">
      <c r="A44" s="152">
        <v>3</v>
      </c>
      <c r="B44" s="174"/>
      <c r="C44" s="184" t="s">
        <v>338</v>
      </c>
      <c r="D44" s="155" t="s">
        <v>165</v>
      </c>
      <c r="E44" s="156">
        <f>E43*1.1</f>
        <v>6204.0000000000009</v>
      </c>
      <c r="F44" s="133"/>
      <c r="G44" s="134"/>
      <c r="H44" s="135"/>
      <c r="I44" s="134"/>
      <c r="J44" s="134"/>
      <c r="K44" s="134">
        <f t="shared" si="8"/>
        <v>0</v>
      </c>
      <c r="L44" s="105">
        <f t="shared" si="2"/>
        <v>0</v>
      </c>
      <c r="M44" s="87">
        <f t="shared" si="3"/>
        <v>0</v>
      </c>
      <c r="N44" s="87">
        <f t="shared" si="4"/>
        <v>0</v>
      </c>
      <c r="O44" s="87">
        <f t="shared" si="5"/>
        <v>0</v>
      </c>
      <c r="P44" s="88">
        <f t="shared" si="6"/>
        <v>0</v>
      </c>
    </row>
    <row r="45" spans="1:25" ht="13.2" x14ac:dyDescent="0.2">
      <c r="A45" s="152">
        <v>4</v>
      </c>
      <c r="B45" s="174"/>
      <c r="C45" s="184" t="s">
        <v>226</v>
      </c>
      <c r="D45" s="155" t="s">
        <v>60</v>
      </c>
      <c r="E45" s="156">
        <v>1</v>
      </c>
      <c r="F45" s="133"/>
      <c r="G45" s="134"/>
      <c r="H45" s="135"/>
      <c r="I45" s="134"/>
      <c r="J45" s="134"/>
      <c r="K45" s="134">
        <f t="shared" si="8"/>
        <v>0</v>
      </c>
      <c r="L45" s="105">
        <f t="shared" si="2"/>
        <v>0</v>
      </c>
      <c r="M45" s="87">
        <f t="shared" si="3"/>
        <v>0</v>
      </c>
      <c r="N45" s="87">
        <f t="shared" si="4"/>
        <v>0</v>
      </c>
      <c r="O45" s="87">
        <f t="shared" si="5"/>
        <v>0</v>
      </c>
      <c r="P45" s="88">
        <f t="shared" si="6"/>
        <v>0</v>
      </c>
    </row>
    <row r="46" spans="1:25" ht="13.2" x14ac:dyDescent="0.2">
      <c r="A46" s="152">
        <v>5</v>
      </c>
      <c r="B46" s="174"/>
      <c r="C46" s="184" t="s">
        <v>339</v>
      </c>
      <c r="D46" s="155" t="s">
        <v>60</v>
      </c>
      <c r="E46" s="156">
        <v>1</v>
      </c>
      <c r="F46" s="133"/>
      <c r="G46" s="134"/>
      <c r="H46" s="135"/>
      <c r="I46" s="134"/>
      <c r="J46" s="134"/>
      <c r="K46" s="134">
        <f t="shared" si="8"/>
        <v>0</v>
      </c>
      <c r="L46" s="105">
        <f t="shared" si="2"/>
        <v>0</v>
      </c>
      <c r="M46" s="87">
        <f t="shared" si="3"/>
        <v>0</v>
      </c>
      <c r="N46" s="87">
        <f t="shared" si="4"/>
        <v>0</v>
      </c>
      <c r="O46" s="87">
        <f t="shared" si="5"/>
        <v>0</v>
      </c>
      <c r="P46" s="88">
        <f t="shared" si="6"/>
        <v>0</v>
      </c>
    </row>
    <row r="47" spans="1:25" ht="26.4" x14ac:dyDescent="0.2">
      <c r="A47" s="152">
        <v>6</v>
      </c>
      <c r="B47" s="174" t="s">
        <v>56</v>
      </c>
      <c r="C47" s="154" t="s">
        <v>340</v>
      </c>
      <c r="D47" s="155" t="s">
        <v>60</v>
      </c>
      <c r="E47" s="156">
        <v>15</v>
      </c>
      <c r="F47" s="133"/>
      <c r="G47" s="134"/>
      <c r="H47" s="135">
        <f>ROUND(F47*G47,2)</f>
        <v>0</v>
      </c>
      <c r="I47" s="134"/>
      <c r="J47" s="134"/>
      <c r="K47" s="134">
        <f t="shared" si="8"/>
        <v>0</v>
      </c>
      <c r="L47" s="105">
        <f t="shared" si="2"/>
        <v>0</v>
      </c>
      <c r="M47" s="87">
        <f t="shared" si="3"/>
        <v>0</v>
      </c>
      <c r="N47" s="87">
        <f t="shared" si="4"/>
        <v>0</v>
      </c>
      <c r="O47" s="87">
        <f t="shared" si="5"/>
        <v>0</v>
      </c>
      <c r="P47" s="88">
        <f t="shared" si="6"/>
        <v>0</v>
      </c>
    </row>
    <row r="48" spans="1:25" ht="26.4" x14ac:dyDescent="0.2">
      <c r="A48" s="152">
        <v>7</v>
      </c>
      <c r="B48" s="174"/>
      <c r="C48" s="184" t="s">
        <v>341</v>
      </c>
      <c r="D48" s="155" t="s">
        <v>58</v>
      </c>
      <c r="E48" s="156">
        <f>183*1.15</f>
        <v>210.45</v>
      </c>
      <c r="F48" s="133"/>
      <c r="G48" s="134"/>
      <c r="H48" s="135"/>
      <c r="I48" s="134"/>
      <c r="J48" s="134"/>
      <c r="K48" s="134">
        <f t="shared" si="8"/>
        <v>0</v>
      </c>
      <c r="L48" s="105">
        <f t="shared" si="2"/>
        <v>0</v>
      </c>
      <c r="M48" s="87">
        <f t="shared" si="3"/>
        <v>0</v>
      </c>
      <c r="N48" s="87">
        <f t="shared" si="4"/>
        <v>0</v>
      </c>
      <c r="O48" s="87">
        <f t="shared" si="5"/>
        <v>0</v>
      </c>
      <c r="P48" s="88">
        <f t="shared" si="6"/>
        <v>0</v>
      </c>
    </row>
    <row r="49" spans="1:16" ht="26.4" x14ac:dyDescent="0.2">
      <c r="A49" s="152">
        <v>8</v>
      </c>
      <c r="B49" s="157"/>
      <c r="C49" s="164" t="s">
        <v>342</v>
      </c>
      <c r="D49" s="157" t="s">
        <v>70</v>
      </c>
      <c r="E49" s="162">
        <f>83*1.12</f>
        <v>92.960000000000008</v>
      </c>
      <c r="F49" s="133"/>
      <c r="G49" s="134"/>
      <c r="H49" s="135"/>
      <c r="I49" s="134"/>
      <c r="J49" s="134"/>
      <c r="K49" s="134">
        <f t="shared" si="8"/>
        <v>0</v>
      </c>
      <c r="L49" s="105">
        <f t="shared" si="2"/>
        <v>0</v>
      </c>
      <c r="M49" s="87">
        <f t="shared" si="3"/>
        <v>0</v>
      </c>
      <c r="N49" s="87">
        <f t="shared" si="4"/>
        <v>0</v>
      </c>
      <c r="O49" s="87">
        <f t="shared" si="5"/>
        <v>0</v>
      </c>
      <c r="P49" s="88">
        <f t="shared" si="6"/>
        <v>0</v>
      </c>
    </row>
    <row r="50" spans="1:16" ht="26.4" x14ac:dyDescent="0.2">
      <c r="A50" s="152">
        <v>9</v>
      </c>
      <c r="B50" s="174"/>
      <c r="C50" s="184" t="s">
        <v>343</v>
      </c>
      <c r="D50" s="155" t="s">
        <v>58</v>
      </c>
      <c r="E50" s="156">
        <f>59.1*1.15</f>
        <v>67.965000000000003</v>
      </c>
      <c r="F50" s="133"/>
      <c r="G50" s="134"/>
      <c r="H50" s="135"/>
      <c r="I50" s="134"/>
      <c r="J50" s="134"/>
      <c r="K50" s="134">
        <f t="shared" si="8"/>
        <v>0</v>
      </c>
      <c r="L50" s="105">
        <f t="shared" si="2"/>
        <v>0</v>
      </c>
      <c r="M50" s="87">
        <f t="shared" si="3"/>
        <v>0</v>
      </c>
      <c r="N50" s="87">
        <f t="shared" si="4"/>
        <v>0</v>
      </c>
      <c r="O50" s="87">
        <f t="shared" si="5"/>
        <v>0</v>
      </c>
      <c r="P50" s="88">
        <f t="shared" si="6"/>
        <v>0</v>
      </c>
    </row>
    <row r="51" spans="1:16" ht="26.4" x14ac:dyDescent="0.2">
      <c r="A51" s="152">
        <v>10</v>
      </c>
      <c r="B51" s="174"/>
      <c r="C51" s="184" t="s">
        <v>344</v>
      </c>
      <c r="D51" s="155" t="s">
        <v>58</v>
      </c>
      <c r="E51" s="156">
        <f>61*1.15</f>
        <v>70.149999999999991</v>
      </c>
      <c r="F51" s="133"/>
      <c r="G51" s="134"/>
      <c r="H51" s="135"/>
      <c r="I51" s="134"/>
      <c r="J51" s="134"/>
      <c r="K51" s="134">
        <f t="shared" si="8"/>
        <v>0</v>
      </c>
      <c r="L51" s="105">
        <f t="shared" si="2"/>
        <v>0</v>
      </c>
      <c r="M51" s="87">
        <f t="shared" si="3"/>
        <v>0</v>
      </c>
      <c r="N51" s="87">
        <f t="shared" si="4"/>
        <v>0</v>
      </c>
      <c r="O51" s="87">
        <f t="shared" si="5"/>
        <v>0</v>
      </c>
      <c r="P51" s="88">
        <f t="shared" si="6"/>
        <v>0</v>
      </c>
    </row>
    <row r="52" spans="1:16" ht="26.4" x14ac:dyDescent="0.2">
      <c r="A52" s="152">
        <v>11</v>
      </c>
      <c r="B52" s="174"/>
      <c r="C52" s="184" t="s">
        <v>345</v>
      </c>
      <c r="D52" s="155" t="s">
        <v>60</v>
      </c>
      <c r="E52" s="156">
        <f>E47</f>
        <v>15</v>
      </c>
      <c r="F52" s="133"/>
      <c r="G52" s="134"/>
      <c r="H52" s="135"/>
      <c r="I52" s="134"/>
      <c r="J52" s="134"/>
      <c r="K52" s="134">
        <f t="shared" si="8"/>
        <v>0</v>
      </c>
      <c r="L52" s="105">
        <f t="shared" si="2"/>
        <v>0</v>
      </c>
      <c r="M52" s="87">
        <f t="shared" si="3"/>
        <v>0</v>
      </c>
      <c r="N52" s="87">
        <f t="shared" si="4"/>
        <v>0</v>
      </c>
      <c r="O52" s="87">
        <f t="shared" si="5"/>
        <v>0</v>
      </c>
      <c r="P52" s="88">
        <f t="shared" si="6"/>
        <v>0</v>
      </c>
    </row>
    <row r="53" spans="1:16" ht="13.2" x14ac:dyDescent="0.2">
      <c r="A53" s="152">
        <v>12</v>
      </c>
      <c r="B53" s="157"/>
      <c r="C53" s="164" t="s">
        <v>331</v>
      </c>
      <c r="D53" s="157" t="s">
        <v>60</v>
      </c>
      <c r="E53" s="162">
        <f>E47</f>
        <v>15</v>
      </c>
      <c r="F53" s="133"/>
      <c r="G53" s="134"/>
      <c r="H53" s="135"/>
      <c r="I53" s="134"/>
      <c r="J53" s="134"/>
      <c r="K53" s="134">
        <f t="shared" si="8"/>
        <v>0</v>
      </c>
      <c r="L53" s="105">
        <f t="shared" si="2"/>
        <v>0</v>
      </c>
      <c r="M53" s="87">
        <f t="shared" si="3"/>
        <v>0</v>
      </c>
      <c r="N53" s="87">
        <f t="shared" si="4"/>
        <v>0</v>
      </c>
      <c r="O53" s="87">
        <f t="shared" si="5"/>
        <v>0</v>
      </c>
      <c r="P53" s="88">
        <f t="shared" si="6"/>
        <v>0</v>
      </c>
    </row>
    <row r="54" spans="1:16" ht="26.4" x14ac:dyDescent="0.2">
      <c r="A54" s="137"/>
      <c r="B54" s="138"/>
      <c r="C54" s="139" t="s">
        <v>346</v>
      </c>
      <c r="D54" s="140"/>
      <c r="E54" s="141"/>
      <c r="F54" s="142"/>
      <c r="G54" s="143"/>
      <c r="H54" s="143"/>
      <c r="I54" s="143"/>
      <c r="J54" s="143"/>
      <c r="K54" s="143"/>
      <c r="L54" s="105"/>
      <c r="M54" s="87"/>
      <c r="N54" s="87"/>
      <c r="O54" s="87"/>
      <c r="P54" s="88"/>
    </row>
    <row r="55" spans="1:16" ht="26.4" x14ac:dyDescent="0.2">
      <c r="A55" s="160">
        <v>1</v>
      </c>
      <c r="B55" s="157" t="s">
        <v>56</v>
      </c>
      <c r="C55" s="163" t="s">
        <v>347</v>
      </c>
      <c r="D55" s="157" t="s">
        <v>62</v>
      </c>
      <c r="E55" s="172">
        <v>14</v>
      </c>
      <c r="F55" s="133"/>
      <c r="G55" s="134"/>
      <c r="H55" s="135">
        <f>ROUND(F55*G55,2)</f>
        <v>0</v>
      </c>
      <c r="I55" s="134"/>
      <c r="J55" s="134"/>
      <c r="K55" s="134">
        <f t="shared" ref="K55:K76" si="9">ROUND(H55+J55+I55,2)</f>
        <v>0</v>
      </c>
      <c r="L55" s="105">
        <f t="shared" si="2"/>
        <v>0</v>
      </c>
      <c r="M55" s="87">
        <f t="shared" si="3"/>
        <v>0</v>
      </c>
      <c r="N55" s="87">
        <f t="shared" si="4"/>
        <v>0</v>
      </c>
      <c r="O55" s="87">
        <f t="shared" si="5"/>
        <v>0</v>
      </c>
      <c r="P55" s="88">
        <f t="shared" si="6"/>
        <v>0</v>
      </c>
    </row>
    <row r="56" spans="1:16" ht="13.2" x14ac:dyDescent="0.2">
      <c r="A56" s="160">
        <v>2</v>
      </c>
      <c r="B56" s="157" t="s">
        <v>56</v>
      </c>
      <c r="C56" s="161" t="s">
        <v>311</v>
      </c>
      <c r="D56" s="157" t="s">
        <v>70</v>
      </c>
      <c r="E56" s="162">
        <v>99.6</v>
      </c>
      <c r="F56" s="133"/>
      <c r="G56" s="134"/>
      <c r="H56" s="135">
        <f>ROUND(F56*G56,2)</f>
        <v>0</v>
      </c>
      <c r="I56" s="134"/>
      <c r="J56" s="134"/>
      <c r="K56" s="134">
        <f t="shared" si="9"/>
        <v>0</v>
      </c>
      <c r="L56" s="105">
        <f t="shared" si="2"/>
        <v>0</v>
      </c>
      <c r="M56" s="87">
        <f t="shared" si="3"/>
        <v>0</v>
      </c>
      <c r="N56" s="87">
        <f t="shared" si="4"/>
        <v>0</v>
      </c>
      <c r="O56" s="87">
        <f t="shared" si="5"/>
        <v>0</v>
      </c>
      <c r="P56" s="88">
        <f t="shared" si="6"/>
        <v>0</v>
      </c>
    </row>
    <row r="57" spans="1:16" ht="26.4" x14ac:dyDescent="0.2">
      <c r="A57" s="160">
        <v>3</v>
      </c>
      <c r="B57" s="174"/>
      <c r="C57" s="184" t="s">
        <v>312</v>
      </c>
      <c r="D57" s="155" t="s">
        <v>70</v>
      </c>
      <c r="E57" s="156">
        <f>E56*1.1</f>
        <v>109.56</v>
      </c>
      <c r="F57" s="133"/>
      <c r="G57" s="134"/>
      <c r="H57" s="135"/>
      <c r="I57" s="134"/>
      <c r="J57" s="134"/>
      <c r="K57" s="134">
        <f t="shared" si="9"/>
        <v>0</v>
      </c>
      <c r="L57" s="105">
        <f t="shared" si="2"/>
        <v>0</v>
      </c>
      <c r="M57" s="87">
        <f t="shared" si="3"/>
        <v>0</v>
      </c>
      <c r="N57" s="87">
        <f t="shared" si="4"/>
        <v>0</v>
      </c>
      <c r="O57" s="87">
        <f t="shared" si="5"/>
        <v>0</v>
      </c>
      <c r="P57" s="88">
        <f t="shared" si="6"/>
        <v>0</v>
      </c>
    </row>
    <row r="58" spans="1:16" ht="13.2" x14ac:dyDescent="0.2">
      <c r="A58" s="160">
        <v>4</v>
      </c>
      <c r="B58" s="185"/>
      <c r="C58" s="184" t="s">
        <v>313</v>
      </c>
      <c r="D58" s="155" t="s">
        <v>70</v>
      </c>
      <c r="E58" s="156">
        <f>E56</f>
        <v>99.6</v>
      </c>
      <c r="F58" s="133"/>
      <c r="G58" s="134"/>
      <c r="H58" s="135"/>
      <c r="I58" s="134"/>
      <c r="J58" s="134"/>
      <c r="K58" s="134">
        <f t="shared" si="9"/>
        <v>0</v>
      </c>
      <c r="L58" s="105">
        <f t="shared" si="2"/>
        <v>0</v>
      </c>
      <c r="M58" s="87">
        <f t="shared" si="3"/>
        <v>0</v>
      </c>
      <c r="N58" s="87">
        <f t="shared" si="4"/>
        <v>0</v>
      </c>
      <c r="O58" s="87">
        <f t="shared" si="5"/>
        <v>0</v>
      </c>
      <c r="P58" s="88">
        <f t="shared" si="6"/>
        <v>0</v>
      </c>
    </row>
    <row r="59" spans="1:16" ht="13.2" x14ac:dyDescent="0.2">
      <c r="A59" s="160">
        <v>5</v>
      </c>
      <c r="B59" s="174" t="s">
        <v>56</v>
      </c>
      <c r="C59" s="154" t="s">
        <v>314</v>
      </c>
      <c r="D59" s="155" t="s">
        <v>70</v>
      </c>
      <c r="E59" s="156">
        <f>E56</f>
        <v>99.6</v>
      </c>
      <c r="F59" s="133"/>
      <c r="G59" s="134"/>
      <c r="H59" s="135">
        <f>ROUND(F59*G59,2)</f>
        <v>0</v>
      </c>
      <c r="I59" s="134"/>
      <c r="J59" s="134"/>
      <c r="K59" s="134">
        <f t="shared" si="9"/>
        <v>0</v>
      </c>
      <c r="L59" s="105">
        <f t="shared" si="2"/>
        <v>0</v>
      </c>
      <c r="M59" s="87">
        <f t="shared" si="3"/>
        <v>0</v>
      </c>
      <c r="N59" s="87">
        <f t="shared" si="4"/>
        <v>0</v>
      </c>
      <c r="O59" s="87">
        <f t="shared" si="5"/>
        <v>0</v>
      </c>
      <c r="P59" s="88">
        <f t="shared" si="6"/>
        <v>0</v>
      </c>
    </row>
    <row r="60" spans="1:16" ht="13.2" x14ac:dyDescent="0.2">
      <c r="A60" s="160">
        <v>6</v>
      </c>
      <c r="B60" s="174"/>
      <c r="C60" s="184" t="s">
        <v>315</v>
      </c>
      <c r="D60" s="155" t="s">
        <v>105</v>
      </c>
      <c r="E60" s="156">
        <f>E59*0.0166622*1.15</f>
        <v>1.9084883879999996</v>
      </c>
      <c r="F60" s="133"/>
      <c r="G60" s="134"/>
      <c r="H60" s="135"/>
      <c r="I60" s="134"/>
      <c r="J60" s="134"/>
      <c r="K60" s="134">
        <f t="shared" si="9"/>
        <v>0</v>
      </c>
      <c r="L60" s="105">
        <f t="shared" si="2"/>
        <v>0</v>
      </c>
      <c r="M60" s="87">
        <f t="shared" si="3"/>
        <v>0</v>
      </c>
      <c r="N60" s="87">
        <f t="shared" si="4"/>
        <v>0</v>
      </c>
      <c r="O60" s="87">
        <f t="shared" si="5"/>
        <v>0</v>
      </c>
      <c r="P60" s="88">
        <f t="shared" si="6"/>
        <v>0</v>
      </c>
    </row>
    <row r="61" spans="1:16" ht="13.2" x14ac:dyDescent="0.2">
      <c r="A61" s="160">
        <v>7</v>
      </c>
      <c r="B61" s="157"/>
      <c r="C61" s="164" t="s">
        <v>316</v>
      </c>
      <c r="D61" s="157" t="s">
        <v>70</v>
      </c>
      <c r="E61" s="162">
        <f>E59</f>
        <v>99.6</v>
      </c>
      <c r="F61" s="133"/>
      <c r="G61" s="134"/>
      <c r="H61" s="135"/>
      <c r="I61" s="134"/>
      <c r="J61" s="134"/>
      <c r="K61" s="134">
        <f t="shared" si="9"/>
        <v>0</v>
      </c>
      <c r="L61" s="105">
        <f t="shared" si="2"/>
        <v>0</v>
      </c>
      <c r="M61" s="87">
        <f t="shared" si="3"/>
        <v>0</v>
      </c>
      <c r="N61" s="87">
        <f t="shared" si="4"/>
        <v>0</v>
      </c>
      <c r="O61" s="87">
        <f t="shared" si="5"/>
        <v>0</v>
      </c>
      <c r="P61" s="88">
        <f t="shared" si="6"/>
        <v>0</v>
      </c>
    </row>
    <row r="62" spans="1:16" ht="13.2" x14ac:dyDescent="0.2">
      <c r="A62" s="160">
        <v>8</v>
      </c>
      <c r="B62" s="174" t="s">
        <v>56</v>
      </c>
      <c r="C62" s="154" t="s">
        <v>317</v>
      </c>
      <c r="D62" s="155" t="s">
        <v>70</v>
      </c>
      <c r="E62" s="156">
        <f>E59</f>
        <v>99.6</v>
      </c>
      <c r="F62" s="133"/>
      <c r="G62" s="134"/>
      <c r="H62" s="135">
        <f>ROUND(F62*G62,2)</f>
        <v>0</v>
      </c>
      <c r="I62" s="134"/>
      <c r="J62" s="134"/>
      <c r="K62" s="134">
        <f t="shared" si="9"/>
        <v>0</v>
      </c>
      <c r="L62" s="105">
        <f t="shared" si="2"/>
        <v>0</v>
      </c>
      <c r="M62" s="87">
        <f t="shared" si="3"/>
        <v>0</v>
      </c>
      <c r="N62" s="87">
        <f t="shared" si="4"/>
        <v>0</v>
      </c>
      <c r="O62" s="87">
        <f t="shared" si="5"/>
        <v>0</v>
      </c>
      <c r="P62" s="88">
        <f t="shared" si="6"/>
        <v>0</v>
      </c>
    </row>
    <row r="63" spans="1:16" ht="13.2" x14ac:dyDescent="0.2">
      <c r="A63" s="160">
        <v>9</v>
      </c>
      <c r="B63" s="174"/>
      <c r="C63" s="184" t="s">
        <v>348</v>
      </c>
      <c r="D63" s="155" t="s">
        <v>105</v>
      </c>
      <c r="E63" s="156">
        <f>E62*0.0042*1.15</f>
        <v>0.48106799999999994</v>
      </c>
      <c r="F63" s="133"/>
      <c r="G63" s="134"/>
      <c r="H63" s="135"/>
      <c r="I63" s="134"/>
      <c r="J63" s="134"/>
      <c r="K63" s="134">
        <f t="shared" si="9"/>
        <v>0</v>
      </c>
      <c r="L63" s="105">
        <f t="shared" si="2"/>
        <v>0</v>
      </c>
      <c r="M63" s="87">
        <f t="shared" si="3"/>
        <v>0</v>
      </c>
      <c r="N63" s="87">
        <f t="shared" si="4"/>
        <v>0</v>
      </c>
      <c r="O63" s="87">
        <f t="shared" si="5"/>
        <v>0</v>
      </c>
      <c r="P63" s="88">
        <f t="shared" si="6"/>
        <v>0</v>
      </c>
    </row>
    <row r="64" spans="1:16" ht="13.2" x14ac:dyDescent="0.2">
      <c r="A64" s="160">
        <v>10</v>
      </c>
      <c r="B64" s="157"/>
      <c r="C64" s="164" t="s">
        <v>316</v>
      </c>
      <c r="D64" s="157" t="s">
        <v>70</v>
      </c>
      <c r="E64" s="162">
        <f>E62</f>
        <v>99.6</v>
      </c>
      <c r="F64" s="133"/>
      <c r="G64" s="134"/>
      <c r="H64" s="135"/>
      <c r="I64" s="134"/>
      <c r="J64" s="134"/>
      <c r="K64" s="134">
        <f t="shared" si="9"/>
        <v>0</v>
      </c>
      <c r="L64" s="105">
        <f t="shared" si="2"/>
        <v>0</v>
      </c>
      <c r="M64" s="87">
        <f t="shared" si="3"/>
        <v>0</v>
      </c>
      <c r="N64" s="87">
        <f t="shared" si="4"/>
        <v>0</v>
      </c>
      <c r="O64" s="87">
        <f t="shared" si="5"/>
        <v>0</v>
      </c>
      <c r="P64" s="88">
        <f t="shared" si="6"/>
        <v>0</v>
      </c>
    </row>
    <row r="65" spans="1:16" ht="13.2" x14ac:dyDescent="0.2">
      <c r="A65" s="160">
        <v>11</v>
      </c>
      <c r="B65" s="174" t="s">
        <v>56</v>
      </c>
      <c r="C65" s="154" t="s">
        <v>321</v>
      </c>
      <c r="D65" s="155" t="s">
        <v>58</v>
      </c>
      <c r="E65" s="156">
        <v>184.2</v>
      </c>
      <c r="F65" s="133"/>
      <c r="G65" s="134"/>
      <c r="H65" s="135">
        <f>ROUND(F65*G65,2)</f>
        <v>0</v>
      </c>
      <c r="I65" s="134"/>
      <c r="J65" s="134"/>
      <c r="K65" s="134">
        <f t="shared" si="9"/>
        <v>0</v>
      </c>
      <c r="L65" s="105">
        <f t="shared" si="2"/>
        <v>0</v>
      </c>
      <c r="M65" s="87">
        <f t="shared" si="3"/>
        <v>0</v>
      </c>
      <c r="N65" s="87">
        <f t="shared" si="4"/>
        <v>0</v>
      </c>
      <c r="O65" s="87">
        <f t="shared" si="5"/>
        <v>0</v>
      </c>
      <c r="P65" s="88">
        <f t="shared" si="6"/>
        <v>0</v>
      </c>
    </row>
    <row r="66" spans="1:16" ht="39.6" x14ac:dyDescent="0.2">
      <c r="A66" s="160">
        <v>12</v>
      </c>
      <c r="B66" s="157" t="s">
        <v>56</v>
      </c>
      <c r="C66" s="163" t="s">
        <v>349</v>
      </c>
      <c r="D66" s="157" t="s">
        <v>70</v>
      </c>
      <c r="E66" s="172">
        <v>92.1</v>
      </c>
      <c r="F66" s="133"/>
      <c r="G66" s="134"/>
      <c r="H66" s="135">
        <f>ROUND(F66*G66,2)</f>
        <v>0</v>
      </c>
      <c r="I66" s="134"/>
      <c r="J66" s="134"/>
      <c r="K66" s="134">
        <f t="shared" si="9"/>
        <v>0</v>
      </c>
      <c r="L66" s="105">
        <f t="shared" si="2"/>
        <v>0</v>
      </c>
      <c r="M66" s="87">
        <f t="shared" si="3"/>
        <v>0</v>
      </c>
      <c r="N66" s="87">
        <f t="shared" si="4"/>
        <v>0</v>
      </c>
      <c r="O66" s="87">
        <f t="shared" si="5"/>
        <v>0</v>
      </c>
      <c r="P66" s="88">
        <f t="shared" si="6"/>
        <v>0</v>
      </c>
    </row>
    <row r="67" spans="1:16" ht="13.2" x14ac:dyDescent="0.2">
      <c r="A67" s="160">
        <v>13</v>
      </c>
      <c r="B67" s="157"/>
      <c r="C67" s="164" t="s">
        <v>160</v>
      </c>
      <c r="D67" s="157" t="s">
        <v>157</v>
      </c>
      <c r="E67" s="162">
        <f>E66*0.12</f>
        <v>11.052</v>
      </c>
      <c r="F67" s="133"/>
      <c r="G67" s="134"/>
      <c r="H67" s="135"/>
      <c r="I67" s="134"/>
      <c r="J67" s="134"/>
      <c r="K67" s="134">
        <f t="shared" si="9"/>
        <v>0</v>
      </c>
      <c r="L67" s="105">
        <f t="shared" si="2"/>
        <v>0</v>
      </c>
      <c r="M67" s="87">
        <f t="shared" si="3"/>
        <v>0</v>
      </c>
      <c r="N67" s="87">
        <f t="shared" si="4"/>
        <v>0</v>
      </c>
      <c r="O67" s="87">
        <f t="shared" si="5"/>
        <v>0</v>
      </c>
      <c r="P67" s="88">
        <f t="shared" si="6"/>
        <v>0</v>
      </c>
    </row>
    <row r="68" spans="1:16" ht="26.4" x14ac:dyDescent="0.2">
      <c r="A68" s="160">
        <v>14</v>
      </c>
      <c r="B68" s="157"/>
      <c r="C68" s="164" t="s">
        <v>161</v>
      </c>
      <c r="D68" s="157" t="s">
        <v>162</v>
      </c>
      <c r="E68" s="173">
        <f>E66*5</f>
        <v>460.5</v>
      </c>
      <c r="F68" s="133"/>
      <c r="G68" s="134"/>
      <c r="H68" s="135"/>
      <c r="I68" s="134"/>
      <c r="J68" s="134"/>
      <c r="K68" s="134">
        <f t="shared" si="9"/>
        <v>0</v>
      </c>
      <c r="L68" s="105">
        <f t="shared" si="2"/>
        <v>0</v>
      </c>
      <c r="M68" s="87">
        <f t="shared" si="3"/>
        <v>0</v>
      </c>
      <c r="N68" s="87">
        <f t="shared" si="4"/>
        <v>0</v>
      </c>
      <c r="O68" s="87">
        <f t="shared" si="5"/>
        <v>0</v>
      </c>
      <c r="P68" s="88">
        <f t="shared" si="6"/>
        <v>0</v>
      </c>
    </row>
    <row r="69" spans="1:16" ht="13.2" x14ac:dyDescent="0.2">
      <c r="A69" s="160">
        <v>15</v>
      </c>
      <c r="B69" s="157" t="s">
        <v>56</v>
      </c>
      <c r="C69" s="163" t="s">
        <v>350</v>
      </c>
      <c r="D69" s="157" t="s">
        <v>70</v>
      </c>
      <c r="E69" s="162">
        <f>E66</f>
        <v>92.1</v>
      </c>
      <c r="F69" s="133"/>
      <c r="G69" s="134"/>
      <c r="H69" s="135">
        <f t="shared" ref="H69" si="10">ROUND(F69*G69,2)</f>
        <v>0</v>
      </c>
      <c r="I69" s="134"/>
      <c r="J69" s="134"/>
      <c r="K69" s="134">
        <f t="shared" si="9"/>
        <v>0</v>
      </c>
      <c r="L69" s="105">
        <f t="shared" si="2"/>
        <v>0</v>
      </c>
      <c r="M69" s="87">
        <f t="shared" si="3"/>
        <v>0</v>
      </c>
      <c r="N69" s="87">
        <f t="shared" si="4"/>
        <v>0</v>
      </c>
      <c r="O69" s="87">
        <f t="shared" si="5"/>
        <v>0</v>
      </c>
      <c r="P69" s="88">
        <f t="shared" si="6"/>
        <v>0</v>
      </c>
    </row>
    <row r="70" spans="1:16" ht="13.2" x14ac:dyDescent="0.2">
      <c r="A70" s="160">
        <v>16</v>
      </c>
      <c r="B70" s="157"/>
      <c r="C70" s="164" t="s">
        <v>160</v>
      </c>
      <c r="D70" s="157" t="s">
        <v>157</v>
      </c>
      <c r="E70" s="162">
        <f>E69*0.12</f>
        <v>11.052</v>
      </c>
      <c r="F70" s="133"/>
      <c r="G70" s="134"/>
      <c r="H70" s="135"/>
      <c r="I70" s="134"/>
      <c r="J70" s="134"/>
      <c r="K70" s="134">
        <f t="shared" si="9"/>
        <v>0</v>
      </c>
      <c r="L70" s="105">
        <f t="shared" si="2"/>
        <v>0</v>
      </c>
      <c r="M70" s="87">
        <f t="shared" si="3"/>
        <v>0</v>
      </c>
      <c r="N70" s="87">
        <f t="shared" si="4"/>
        <v>0</v>
      </c>
      <c r="O70" s="87">
        <f t="shared" si="5"/>
        <v>0</v>
      </c>
      <c r="P70" s="88">
        <f t="shared" si="6"/>
        <v>0</v>
      </c>
    </row>
    <row r="71" spans="1:16" ht="13.2" x14ac:dyDescent="0.2">
      <c r="A71" s="160">
        <v>17</v>
      </c>
      <c r="B71" s="157"/>
      <c r="C71" s="164" t="s">
        <v>178</v>
      </c>
      <c r="D71" s="157" t="s">
        <v>165</v>
      </c>
      <c r="E71" s="173">
        <f>E69*4.2</f>
        <v>386.82</v>
      </c>
      <c r="F71" s="133"/>
      <c r="G71" s="134"/>
      <c r="H71" s="135"/>
      <c r="I71" s="134"/>
      <c r="J71" s="134"/>
      <c r="K71" s="134">
        <f t="shared" si="9"/>
        <v>0</v>
      </c>
      <c r="L71" s="105">
        <f t="shared" si="2"/>
        <v>0</v>
      </c>
      <c r="M71" s="87">
        <f t="shared" si="3"/>
        <v>0</v>
      </c>
      <c r="N71" s="87">
        <f t="shared" si="4"/>
        <v>0</v>
      </c>
      <c r="O71" s="87">
        <f t="shared" si="5"/>
        <v>0</v>
      </c>
      <c r="P71" s="88">
        <f t="shared" si="6"/>
        <v>0</v>
      </c>
    </row>
    <row r="72" spans="1:16" ht="13.2" x14ac:dyDescent="0.2">
      <c r="A72" s="160">
        <v>18</v>
      </c>
      <c r="B72" s="157"/>
      <c r="C72" s="164" t="s">
        <v>170</v>
      </c>
      <c r="D72" s="157" t="s">
        <v>70</v>
      </c>
      <c r="E72" s="162">
        <f>E69*1.2</f>
        <v>110.52</v>
      </c>
      <c r="F72" s="133"/>
      <c r="G72" s="134"/>
      <c r="H72" s="135"/>
      <c r="I72" s="134"/>
      <c r="J72" s="134"/>
      <c r="K72" s="134">
        <f t="shared" si="9"/>
        <v>0</v>
      </c>
      <c r="L72" s="105">
        <f t="shared" si="2"/>
        <v>0</v>
      </c>
      <c r="M72" s="87">
        <f t="shared" si="3"/>
        <v>0</v>
      </c>
      <c r="N72" s="87">
        <f t="shared" si="4"/>
        <v>0</v>
      </c>
      <c r="O72" s="87">
        <f t="shared" si="5"/>
        <v>0</v>
      </c>
      <c r="P72" s="88">
        <f t="shared" si="6"/>
        <v>0</v>
      </c>
    </row>
    <row r="73" spans="1:16" ht="13.2" x14ac:dyDescent="0.2">
      <c r="A73" s="160">
        <v>19</v>
      </c>
      <c r="B73" s="157"/>
      <c r="C73" s="164" t="s">
        <v>300</v>
      </c>
      <c r="D73" s="157" t="s">
        <v>58</v>
      </c>
      <c r="E73" s="162">
        <v>184.2</v>
      </c>
      <c r="F73" s="133"/>
      <c r="G73" s="134"/>
      <c r="H73" s="135"/>
      <c r="I73" s="134"/>
      <c r="J73" s="134"/>
      <c r="K73" s="134">
        <f t="shared" si="9"/>
        <v>0</v>
      </c>
      <c r="L73" s="105">
        <f t="shared" si="2"/>
        <v>0</v>
      </c>
      <c r="M73" s="87">
        <f t="shared" si="3"/>
        <v>0</v>
      </c>
      <c r="N73" s="87">
        <f t="shared" si="4"/>
        <v>0</v>
      </c>
      <c r="O73" s="87">
        <f t="shared" si="5"/>
        <v>0</v>
      </c>
      <c r="P73" s="88">
        <f t="shared" si="6"/>
        <v>0</v>
      </c>
    </row>
    <row r="74" spans="1:16" ht="13.2" x14ac:dyDescent="0.2">
      <c r="A74" s="160">
        <v>20</v>
      </c>
      <c r="B74" s="157" t="s">
        <v>56</v>
      </c>
      <c r="C74" s="163" t="s">
        <v>248</v>
      </c>
      <c r="D74" s="157" t="s">
        <v>70</v>
      </c>
      <c r="E74" s="162">
        <f>E69</f>
        <v>92.1</v>
      </c>
      <c r="F74" s="133"/>
      <c r="G74" s="134"/>
      <c r="H74" s="135">
        <f t="shared" ref="H74" si="11">ROUND(F74*G74,2)</f>
        <v>0</v>
      </c>
      <c r="I74" s="134"/>
      <c r="J74" s="134"/>
      <c r="K74" s="134">
        <f t="shared" si="9"/>
        <v>0</v>
      </c>
      <c r="L74" s="105">
        <f t="shared" si="2"/>
        <v>0</v>
      </c>
      <c r="M74" s="87">
        <f t="shared" si="3"/>
        <v>0</v>
      </c>
      <c r="N74" s="87">
        <f t="shared" si="4"/>
        <v>0</v>
      </c>
      <c r="O74" s="87">
        <f t="shared" si="5"/>
        <v>0</v>
      </c>
      <c r="P74" s="88">
        <f t="shared" si="6"/>
        <v>0</v>
      </c>
    </row>
    <row r="75" spans="1:16" ht="13.2" x14ac:dyDescent="0.2">
      <c r="A75" s="160">
        <v>21</v>
      </c>
      <c r="B75" s="157"/>
      <c r="C75" s="164" t="s">
        <v>351</v>
      </c>
      <c r="D75" s="157" t="s">
        <v>157</v>
      </c>
      <c r="E75" s="162">
        <f>E74*0.12</f>
        <v>11.052</v>
      </c>
      <c r="F75" s="133"/>
      <c r="G75" s="134"/>
      <c r="H75" s="135"/>
      <c r="I75" s="134"/>
      <c r="J75" s="134"/>
      <c r="K75" s="134">
        <f t="shared" si="9"/>
        <v>0</v>
      </c>
      <c r="L75" s="105">
        <f t="shared" si="2"/>
        <v>0</v>
      </c>
      <c r="M75" s="87">
        <f t="shared" si="3"/>
        <v>0</v>
      </c>
      <c r="N75" s="87">
        <f t="shared" si="4"/>
        <v>0</v>
      </c>
      <c r="O75" s="87">
        <f t="shared" si="5"/>
        <v>0</v>
      </c>
      <c r="P75" s="88">
        <f t="shared" si="6"/>
        <v>0</v>
      </c>
    </row>
    <row r="76" spans="1:16" ht="26.4" x14ac:dyDescent="0.2">
      <c r="A76" s="160">
        <v>22</v>
      </c>
      <c r="B76" s="157"/>
      <c r="C76" s="164" t="s">
        <v>352</v>
      </c>
      <c r="D76" s="157" t="s">
        <v>165</v>
      </c>
      <c r="E76" s="162">
        <f>E74*4</f>
        <v>368.4</v>
      </c>
      <c r="F76" s="133"/>
      <c r="G76" s="134"/>
      <c r="H76" s="135"/>
      <c r="I76" s="134"/>
      <c r="J76" s="134"/>
      <c r="K76" s="134">
        <f t="shared" si="9"/>
        <v>0</v>
      </c>
      <c r="L76" s="105">
        <f t="shared" si="2"/>
        <v>0</v>
      </c>
      <c r="M76" s="87">
        <f t="shared" si="3"/>
        <v>0</v>
      </c>
      <c r="N76" s="87">
        <f t="shared" si="4"/>
        <v>0</v>
      </c>
      <c r="O76" s="87">
        <f t="shared" si="5"/>
        <v>0</v>
      </c>
      <c r="P76" s="88">
        <f t="shared" si="6"/>
        <v>0</v>
      </c>
    </row>
    <row r="77" spans="1:16" ht="26.4" x14ac:dyDescent="0.2">
      <c r="A77" s="137"/>
      <c r="B77" s="138"/>
      <c r="C77" s="139" t="s">
        <v>353</v>
      </c>
      <c r="D77" s="140"/>
      <c r="E77" s="141"/>
      <c r="F77" s="142"/>
      <c r="G77" s="143"/>
      <c r="H77" s="143"/>
      <c r="I77" s="143"/>
      <c r="J77" s="143"/>
      <c r="K77" s="143"/>
      <c r="L77" s="105"/>
      <c r="M77" s="87"/>
      <c r="N77" s="87"/>
      <c r="O77" s="87"/>
      <c r="P77" s="88"/>
    </row>
    <row r="78" spans="1:16" ht="13.2" x14ac:dyDescent="0.2">
      <c r="A78" s="152">
        <v>1</v>
      </c>
      <c r="B78" s="174" t="s">
        <v>56</v>
      </c>
      <c r="C78" s="154" t="s">
        <v>354</v>
      </c>
      <c r="D78" s="155" t="s">
        <v>58</v>
      </c>
      <c r="E78" s="156">
        <v>16</v>
      </c>
      <c r="F78" s="133"/>
      <c r="G78" s="134"/>
      <c r="H78" s="135">
        <f>ROUND(F78*G78,2)</f>
        <v>0</v>
      </c>
      <c r="I78" s="134"/>
      <c r="J78" s="134"/>
      <c r="K78" s="134">
        <f>ROUND(H78+J78+I78,2)</f>
        <v>0</v>
      </c>
      <c r="L78" s="105">
        <f t="shared" si="2"/>
        <v>0</v>
      </c>
      <c r="M78" s="87">
        <f t="shared" si="3"/>
        <v>0</v>
      </c>
      <c r="N78" s="87">
        <f t="shared" si="4"/>
        <v>0</v>
      </c>
      <c r="O78" s="87">
        <f t="shared" si="5"/>
        <v>0</v>
      </c>
      <c r="P78" s="88">
        <f t="shared" si="6"/>
        <v>0</v>
      </c>
    </row>
    <row r="79" spans="1:16" ht="13.2" x14ac:dyDescent="0.2">
      <c r="A79" s="160">
        <v>2</v>
      </c>
      <c r="B79" s="157" t="s">
        <v>56</v>
      </c>
      <c r="C79" s="161" t="s">
        <v>355</v>
      </c>
      <c r="D79" s="157" t="s">
        <v>58</v>
      </c>
      <c r="E79" s="162">
        <v>16</v>
      </c>
      <c r="F79" s="133"/>
      <c r="G79" s="134"/>
      <c r="H79" s="135">
        <f>ROUND(F79*G79,2)</f>
        <v>0</v>
      </c>
      <c r="I79" s="134"/>
      <c r="J79" s="134"/>
      <c r="K79" s="134">
        <f t="shared" ref="K79:K86" si="12">ROUND(H79+J79+I79,2)</f>
        <v>0</v>
      </c>
      <c r="L79" s="105">
        <f t="shared" ref="L79:L122" si="13">ROUND(E79*F79,2)</f>
        <v>0</v>
      </c>
      <c r="M79" s="87">
        <f t="shared" ref="M79:M122" si="14">ROUND(E79*H79,2)</f>
        <v>0</v>
      </c>
      <c r="N79" s="87">
        <f t="shared" ref="N79:N122" si="15">ROUND(E79*I79,2)</f>
        <v>0</v>
      </c>
      <c r="O79" s="87">
        <f t="shared" ref="O79:O122" si="16">ROUND(E79*J79,2)</f>
        <v>0</v>
      </c>
      <c r="P79" s="88">
        <f t="shared" ref="P79:P122" si="17">ROUND(O79+N79+M79,2)</f>
        <v>0</v>
      </c>
    </row>
    <row r="80" spans="1:16" ht="13.2" x14ac:dyDescent="0.2">
      <c r="A80" s="160">
        <v>3</v>
      </c>
      <c r="B80" s="157"/>
      <c r="C80" s="164" t="s">
        <v>356</v>
      </c>
      <c r="D80" s="157" t="s">
        <v>58</v>
      </c>
      <c r="E80" s="162">
        <f>E79*1.15</f>
        <v>18.399999999999999</v>
      </c>
      <c r="F80" s="133"/>
      <c r="G80" s="134"/>
      <c r="H80" s="135"/>
      <c r="I80" s="134"/>
      <c r="J80" s="134"/>
      <c r="K80" s="134">
        <f t="shared" si="12"/>
        <v>0</v>
      </c>
      <c r="L80" s="105">
        <f t="shared" si="13"/>
        <v>0</v>
      </c>
      <c r="M80" s="87">
        <f t="shared" si="14"/>
        <v>0</v>
      </c>
      <c r="N80" s="87">
        <f t="shared" si="15"/>
        <v>0</v>
      </c>
      <c r="O80" s="87">
        <f t="shared" si="16"/>
        <v>0</v>
      </c>
      <c r="P80" s="88">
        <f t="shared" si="17"/>
        <v>0</v>
      </c>
    </row>
    <row r="81" spans="1:16" ht="13.2" x14ac:dyDescent="0.2">
      <c r="A81" s="152">
        <v>4</v>
      </c>
      <c r="B81" s="157"/>
      <c r="C81" s="164" t="s">
        <v>357</v>
      </c>
      <c r="D81" s="157" t="s">
        <v>62</v>
      </c>
      <c r="E81" s="162">
        <f>ROUND(E79*10,0)</f>
        <v>160</v>
      </c>
      <c r="F81" s="133"/>
      <c r="G81" s="134"/>
      <c r="H81" s="135"/>
      <c r="I81" s="134"/>
      <c r="J81" s="134"/>
      <c r="K81" s="134">
        <f t="shared" si="12"/>
        <v>0</v>
      </c>
      <c r="L81" s="105">
        <f t="shared" si="13"/>
        <v>0</v>
      </c>
      <c r="M81" s="87">
        <f t="shared" si="14"/>
        <v>0</v>
      </c>
      <c r="N81" s="87">
        <f t="shared" si="15"/>
        <v>0</v>
      </c>
      <c r="O81" s="87">
        <f t="shared" si="16"/>
        <v>0</v>
      </c>
      <c r="P81" s="88">
        <f t="shared" si="17"/>
        <v>0</v>
      </c>
    </row>
    <row r="82" spans="1:16" ht="13.2" x14ac:dyDescent="0.2">
      <c r="A82" s="160">
        <v>5</v>
      </c>
      <c r="B82" s="157"/>
      <c r="C82" s="164" t="s">
        <v>226</v>
      </c>
      <c r="D82" s="157" t="s">
        <v>60</v>
      </c>
      <c r="E82" s="186">
        <v>1</v>
      </c>
      <c r="F82" s="133"/>
      <c r="G82" s="134"/>
      <c r="H82" s="135"/>
      <c r="I82" s="134"/>
      <c r="J82" s="134"/>
      <c r="K82" s="134">
        <f t="shared" si="12"/>
        <v>0</v>
      </c>
      <c r="L82" s="105">
        <f t="shared" si="13"/>
        <v>0</v>
      </c>
      <c r="M82" s="87">
        <f t="shared" si="14"/>
        <v>0</v>
      </c>
      <c r="N82" s="87">
        <f t="shared" si="15"/>
        <v>0</v>
      </c>
      <c r="O82" s="87">
        <f t="shared" si="16"/>
        <v>0</v>
      </c>
      <c r="P82" s="88">
        <f t="shared" si="17"/>
        <v>0</v>
      </c>
    </row>
    <row r="83" spans="1:16" ht="52.8" x14ac:dyDescent="0.2">
      <c r="A83" s="160">
        <v>6</v>
      </c>
      <c r="B83" s="157" t="s">
        <v>56</v>
      </c>
      <c r="C83" s="161" t="s">
        <v>358</v>
      </c>
      <c r="D83" s="157" t="s">
        <v>70</v>
      </c>
      <c r="E83" s="162">
        <f>E78</f>
        <v>16</v>
      </c>
      <c r="F83" s="133"/>
      <c r="G83" s="134"/>
      <c r="H83" s="135">
        <f t="shared" ref="H83" si="18">ROUND(F83*G83,2)</f>
        <v>0</v>
      </c>
      <c r="I83" s="134"/>
      <c r="J83" s="134"/>
      <c r="K83" s="134">
        <f t="shared" si="12"/>
        <v>0</v>
      </c>
      <c r="L83" s="105">
        <f t="shared" si="13"/>
        <v>0</v>
      </c>
      <c r="M83" s="87">
        <f t="shared" si="14"/>
        <v>0</v>
      </c>
      <c r="N83" s="87">
        <f t="shared" si="15"/>
        <v>0</v>
      </c>
      <c r="O83" s="87">
        <f t="shared" si="16"/>
        <v>0</v>
      </c>
      <c r="P83" s="88">
        <f t="shared" si="17"/>
        <v>0</v>
      </c>
    </row>
    <row r="84" spans="1:16" ht="26.4" x14ac:dyDescent="0.2">
      <c r="A84" s="152">
        <v>7</v>
      </c>
      <c r="B84" s="157"/>
      <c r="C84" s="164" t="s">
        <v>359</v>
      </c>
      <c r="D84" s="157" t="s">
        <v>70</v>
      </c>
      <c r="E84" s="162">
        <f>E83*1.2</f>
        <v>19.2</v>
      </c>
      <c r="F84" s="133"/>
      <c r="G84" s="134"/>
      <c r="H84" s="135"/>
      <c r="I84" s="134"/>
      <c r="J84" s="134"/>
      <c r="K84" s="134">
        <f t="shared" si="12"/>
        <v>0</v>
      </c>
      <c r="L84" s="105">
        <f t="shared" si="13"/>
        <v>0</v>
      </c>
      <c r="M84" s="87">
        <f t="shared" si="14"/>
        <v>0</v>
      </c>
      <c r="N84" s="87">
        <f t="shared" si="15"/>
        <v>0</v>
      </c>
      <c r="O84" s="87">
        <f t="shared" si="16"/>
        <v>0</v>
      </c>
      <c r="P84" s="88">
        <f t="shared" si="17"/>
        <v>0</v>
      </c>
    </row>
    <row r="85" spans="1:16" ht="13.2" x14ac:dyDescent="0.2">
      <c r="A85" s="160">
        <v>8</v>
      </c>
      <c r="B85" s="157"/>
      <c r="C85" s="164" t="s">
        <v>360</v>
      </c>
      <c r="D85" s="157" t="s">
        <v>165</v>
      </c>
      <c r="E85" s="162">
        <f>E83*0.3</f>
        <v>4.8</v>
      </c>
      <c r="F85" s="133"/>
      <c r="G85" s="134"/>
      <c r="H85" s="135"/>
      <c r="I85" s="134"/>
      <c r="J85" s="134"/>
      <c r="K85" s="134">
        <f t="shared" si="12"/>
        <v>0</v>
      </c>
      <c r="L85" s="105">
        <f t="shared" si="13"/>
        <v>0</v>
      </c>
      <c r="M85" s="87">
        <f t="shared" si="14"/>
        <v>0</v>
      </c>
      <c r="N85" s="87">
        <f t="shared" si="15"/>
        <v>0</v>
      </c>
      <c r="O85" s="87">
        <f t="shared" si="16"/>
        <v>0</v>
      </c>
      <c r="P85" s="88">
        <f t="shared" si="17"/>
        <v>0</v>
      </c>
    </row>
    <row r="86" spans="1:16" ht="13.2" x14ac:dyDescent="0.2">
      <c r="A86" s="160">
        <v>9</v>
      </c>
      <c r="B86" s="157"/>
      <c r="C86" s="164" t="s">
        <v>361</v>
      </c>
      <c r="D86" s="157" t="s">
        <v>262</v>
      </c>
      <c r="E86" s="186">
        <f>E83/50</f>
        <v>0.32</v>
      </c>
      <c r="F86" s="133"/>
      <c r="G86" s="134"/>
      <c r="H86" s="135"/>
      <c r="I86" s="134"/>
      <c r="J86" s="134"/>
      <c r="K86" s="134">
        <f t="shared" si="12"/>
        <v>0</v>
      </c>
      <c r="L86" s="105">
        <f t="shared" si="13"/>
        <v>0</v>
      </c>
      <c r="M86" s="87">
        <f t="shared" si="14"/>
        <v>0</v>
      </c>
      <c r="N86" s="87">
        <f t="shared" si="15"/>
        <v>0</v>
      </c>
      <c r="O86" s="87">
        <f t="shared" si="16"/>
        <v>0</v>
      </c>
      <c r="P86" s="88">
        <f t="shared" si="17"/>
        <v>0</v>
      </c>
    </row>
    <row r="87" spans="1:16" ht="26.4" x14ac:dyDescent="0.2">
      <c r="A87" s="137"/>
      <c r="B87" s="138"/>
      <c r="C87" s="139" t="s">
        <v>362</v>
      </c>
      <c r="D87" s="140"/>
      <c r="E87" s="141"/>
      <c r="F87" s="142"/>
      <c r="G87" s="143"/>
      <c r="H87" s="143"/>
      <c r="I87" s="143"/>
      <c r="J87" s="143"/>
      <c r="K87" s="143"/>
      <c r="L87" s="105"/>
      <c r="M87" s="87"/>
      <c r="N87" s="87"/>
      <c r="O87" s="87"/>
      <c r="P87" s="88"/>
    </row>
    <row r="88" spans="1:16" ht="13.2" x14ac:dyDescent="0.2">
      <c r="A88" s="152">
        <v>1</v>
      </c>
      <c r="B88" s="174" t="s">
        <v>56</v>
      </c>
      <c r="C88" s="154" t="s">
        <v>354</v>
      </c>
      <c r="D88" s="155" t="s">
        <v>58</v>
      </c>
      <c r="E88" s="156">
        <v>41</v>
      </c>
      <c r="F88" s="133"/>
      <c r="G88" s="134"/>
      <c r="H88" s="135">
        <f>ROUND(F88*G88,2)</f>
        <v>0</v>
      </c>
      <c r="I88" s="134"/>
      <c r="J88" s="134"/>
      <c r="K88" s="134">
        <f>ROUND(H88+J88+I88,2)</f>
        <v>0</v>
      </c>
      <c r="L88" s="105">
        <f t="shared" si="13"/>
        <v>0</v>
      </c>
      <c r="M88" s="87">
        <f t="shared" si="14"/>
        <v>0</v>
      </c>
      <c r="N88" s="87">
        <f t="shared" si="15"/>
        <v>0</v>
      </c>
      <c r="O88" s="87">
        <f t="shared" si="16"/>
        <v>0</v>
      </c>
      <c r="P88" s="88">
        <f t="shared" si="17"/>
        <v>0</v>
      </c>
    </row>
    <row r="89" spans="1:16" ht="13.2" x14ac:dyDescent="0.2">
      <c r="A89" s="160">
        <v>2</v>
      </c>
      <c r="B89" s="157" t="s">
        <v>56</v>
      </c>
      <c r="C89" s="161" t="s">
        <v>355</v>
      </c>
      <c r="D89" s="157" t="s">
        <v>58</v>
      </c>
      <c r="E89" s="162">
        <f>E88</f>
        <v>41</v>
      </c>
      <c r="F89" s="133"/>
      <c r="G89" s="134"/>
      <c r="H89" s="135">
        <f>ROUND(F89*G89,2)</f>
        <v>0</v>
      </c>
      <c r="I89" s="134"/>
      <c r="J89" s="134"/>
      <c r="K89" s="134">
        <f t="shared" ref="K89:K96" si="19">ROUND(H89+J89+I89,2)</f>
        <v>0</v>
      </c>
      <c r="L89" s="105">
        <f t="shared" si="13"/>
        <v>0</v>
      </c>
      <c r="M89" s="87">
        <f t="shared" si="14"/>
        <v>0</v>
      </c>
      <c r="N89" s="87">
        <f t="shared" si="15"/>
        <v>0</v>
      </c>
      <c r="O89" s="87">
        <f t="shared" si="16"/>
        <v>0</v>
      </c>
      <c r="P89" s="88">
        <f t="shared" si="17"/>
        <v>0</v>
      </c>
    </row>
    <row r="90" spans="1:16" ht="13.2" x14ac:dyDescent="0.2">
      <c r="A90" s="160">
        <v>3</v>
      </c>
      <c r="B90" s="157"/>
      <c r="C90" s="164" t="s">
        <v>356</v>
      </c>
      <c r="D90" s="157" t="s">
        <v>58</v>
      </c>
      <c r="E90" s="162">
        <f>E89*1.15</f>
        <v>47.15</v>
      </c>
      <c r="F90" s="133"/>
      <c r="G90" s="134"/>
      <c r="H90" s="135"/>
      <c r="I90" s="134"/>
      <c r="J90" s="134"/>
      <c r="K90" s="134">
        <f t="shared" si="19"/>
        <v>0</v>
      </c>
      <c r="L90" s="105">
        <f t="shared" si="13"/>
        <v>0</v>
      </c>
      <c r="M90" s="87">
        <f t="shared" si="14"/>
        <v>0</v>
      </c>
      <c r="N90" s="87">
        <f t="shared" si="15"/>
        <v>0</v>
      </c>
      <c r="O90" s="87">
        <f t="shared" si="16"/>
        <v>0</v>
      </c>
      <c r="P90" s="88">
        <f t="shared" si="17"/>
        <v>0</v>
      </c>
    </row>
    <row r="91" spans="1:16" ht="13.2" x14ac:dyDescent="0.2">
      <c r="A91" s="152">
        <v>4</v>
      </c>
      <c r="B91" s="157"/>
      <c r="C91" s="164" t="s">
        <v>357</v>
      </c>
      <c r="D91" s="157" t="s">
        <v>62</v>
      </c>
      <c r="E91" s="162">
        <f>ROUND(E89*10,0)</f>
        <v>410</v>
      </c>
      <c r="F91" s="133"/>
      <c r="G91" s="134"/>
      <c r="H91" s="135"/>
      <c r="I91" s="134"/>
      <c r="J91" s="134"/>
      <c r="K91" s="134">
        <f t="shared" si="19"/>
        <v>0</v>
      </c>
      <c r="L91" s="105">
        <f t="shared" si="13"/>
        <v>0</v>
      </c>
      <c r="M91" s="87">
        <f t="shared" si="14"/>
        <v>0</v>
      </c>
      <c r="N91" s="87">
        <f t="shared" si="15"/>
        <v>0</v>
      </c>
      <c r="O91" s="87">
        <f t="shared" si="16"/>
        <v>0</v>
      </c>
      <c r="P91" s="88">
        <f t="shared" si="17"/>
        <v>0</v>
      </c>
    </row>
    <row r="92" spans="1:16" ht="13.2" x14ac:dyDescent="0.2">
      <c r="A92" s="160">
        <v>5</v>
      </c>
      <c r="B92" s="157"/>
      <c r="C92" s="164" t="s">
        <v>226</v>
      </c>
      <c r="D92" s="157" t="s">
        <v>60</v>
      </c>
      <c r="E92" s="186">
        <v>1</v>
      </c>
      <c r="F92" s="133"/>
      <c r="G92" s="134"/>
      <c r="H92" s="135"/>
      <c r="I92" s="134"/>
      <c r="J92" s="134"/>
      <c r="K92" s="134">
        <f t="shared" si="19"/>
        <v>0</v>
      </c>
      <c r="L92" s="105">
        <f t="shared" si="13"/>
        <v>0</v>
      </c>
      <c r="M92" s="87">
        <f t="shared" si="14"/>
        <v>0</v>
      </c>
      <c r="N92" s="87">
        <f t="shared" si="15"/>
        <v>0</v>
      </c>
      <c r="O92" s="87">
        <f t="shared" si="16"/>
        <v>0</v>
      </c>
      <c r="P92" s="88">
        <f t="shared" si="17"/>
        <v>0</v>
      </c>
    </row>
    <row r="93" spans="1:16" ht="52.8" x14ac:dyDescent="0.2">
      <c r="A93" s="160">
        <v>6</v>
      </c>
      <c r="B93" s="157" t="s">
        <v>56</v>
      </c>
      <c r="C93" s="161" t="s">
        <v>358</v>
      </c>
      <c r="D93" s="157" t="s">
        <v>70</v>
      </c>
      <c r="E93" s="162">
        <f>E88</f>
        <v>41</v>
      </c>
      <c r="F93" s="133"/>
      <c r="G93" s="134"/>
      <c r="H93" s="135">
        <f t="shared" ref="H93" si="20">ROUND(F93*G93,2)</f>
        <v>0</v>
      </c>
      <c r="I93" s="134"/>
      <c r="J93" s="134"/>
      <c r="K93" s="134">
        <f t="shared" si="19"/>
        <v>0</v>
      </c>
      <c r="L93" s="105">
        <f t="shared" si="13"/>
        <v>0</v>
      </c>
      <c r="M93" s="87">
        <f t="shared" si="14"/>
        <v>0</v>
      </c>
      <c r="N93" s="87">
        <f t="shared" si="15"/>
        <v>0</v>
      </c>
      <c r="O93" s="87">
        <f t="shared" si="16"/>
        <v>0</v>
      </c>
      <c r="P93" s="88">
        <f t="shared" si="17"/>
        <v>0</v>
      </c>
    </row>
    <row r="94" spans="1:16" ht="26.4" x14ac:dyDescent="0.2">
      <c r="A94" s="152">
        <v>7</v>
      </c>
      <c r="B94" s="157"/>
      <c r="C94" s="164" t="s">
        <v>359</v>
      </c>
      <c r="D94" s="157" t="s">
        <v>70</v>
      </c>
      <c r="E94" s="162">
        <f>E93*1.2</f>
        <v>49.199999999999996</v>
      </c>
      <c r="F94" s="133"/>
      <c r="G94" s="134"/>
      <c r="H94" s="135"/>
      <c r="I94" s="134"/>
      <c r="J94" s="134"/>
      <c r="K94" s="134">
        <f t="shared" si="19"/>
        <v>0</v>
      </c>
      <c r="L94" s="105">
        <f t="shared" si="13"/>
        <v>0</v>
      </c>
      <c r="M94" s="87">
        <f t="shared" si="14"/>
        <v>0</v>
      </c>
      <c r="N94" s="87">
        <f t="shared" si="15"/>
        <v>0</v>
      </c>
      <c r="O94" s="87">
        <f t="shared" si="16"/>
        <v>0</v>
      </c>
      <c r="P94" s="88">
        <f t="shared" si="17"/>
        <v>0</v>
      </c>
    </row>
    <row r="95" spans="1:16" ht="13.2" x14ac:dyDescent="0.2">
      <c r="A95" s="160">
        <v>8</v>
      </c>
      <c r="B95" s="157"/>
      <c r="C95" s="164" t="s">
        <v>360</v>
      </c>
      <c r="D95" s="157" t="s">
        <v>165</v>
      </c>
      <c r="E95" s="162">
        <f>E93*0.3</f>
        <v>12.299999999999999</v>
      </c>
      <c r="F95" s="133"/>
      <c r="G95" s="134"/>
      <c r="H95" s="135"/>
      <c r="I95" s="134"/>
      <c r="J95" s="134"/>
      <c r="K95" s="134">
        <f t="shared" si="19"/>
        <v>0</v>
      </c>
      <c r="L95" s="105">
        <f t="shared" si="13"/>
        <v>0</v>
      </c>
      <c r="M95" s="87">
        <f t="shared" si="14"/>
        <v>0</v>
      </c>
      <c r="N95" s="87">
        <f t="shared" si="15"/>
        <v>0</v>
      </c>
      <c r="O95" s="87">
        <f t="shared" si="16"/>
        <v>0</v>
      </c>
      <c r="P95" s="88">
        <f t="shared" si="17"/>
        <v>0</v>
      </c>
    </row>
    <row r="96" spans="1:16" ht="13.2" x14ac:dyDescent="0.2">
      <c r="A96" s="160">
        <v>9</v>
      </c>
      <c r="B96" s="157"/>
      <c r="C96" s="164" t="s">
        <v>361</v>
      </c>
      <c r="D96" s="157" t="s">
        <v>262</v>
      </c>
      <c r="E96" s="186">
        <f>E93/50</f>
        <v>0.82</v>
      </c>
      <c r="F96" s="133"/>
      <c r="G96" s="134"/>
      <c r="H96" s="135"/>
      <c r="I96" s="134"/>
      <c r="J96" s="134"/>
      <c r="K96" s="134">
        <f t="shared" si="19"/>
        <v>0</v>
      </c>
      <c r="L96" s="105">
        <f t="shared" si="13"/>
        <v>0</v>
      </c>
      <c r="M96" s="87">
        <f t="shared" si="14"/>
        <v>0</v>
      </c>
      <c r="N96" s="87">
        <f t="shared" si="15"/>
        <v>0</v>
      </c>
      <c r="O96" s="87">
        <f t="shared" si="16"/>
        <v>0</v>
      </c>
      <c r="P96" s="88">
        <f t="shared" si="17"/>
        <v>0</v>
      </c>
    </row>
    <row r="97" spans="1:16" ht="26.4" x14ac:dyDescent="0.2">
      <c r="A97" s="137"/>
      <c r="B97" s="138"/>
      <c r="C97" s="139" t="s">
        <v>363</v>
      </c>
      <c r="D97" s="140"/>
      <c r="E97" s="141"/>
      <c r="F97" s="142"/>
      <c r="G97" s="143"/>
      <c r="H97" s="143"/>
      <c r="I97" s="143"/>
      <c r="J97" s="143"/>
      <c r="K97" s="143"/>
      <c r="L97" s="105"/>
      <c r="M97" s="87"/>
      <c r="N97" s="87"/>
      <c r="O97" s="87"/>
      <c r="P97" s="88"/>
    </row>
    <row r="98" spans="1:16" ht="13.2" x14ac:dyDescent="0.2">
      <c r="A98" s="160">
        <v>1</v>
      </c>
      <c r="B98" s="157" t="s">
        <v>56</v>
      </c>
      <c r="C98" s="161" t="s">
        <v>311</v>
      </c>
      <c r="D98" s="157" t="s">
        <v>70</v>
      </c>
      <c r="E98" s="162">
        <v>6.2</v>
      </c>
      <c r="F98" s="133"/>
      <c r="G98" s="134"/>
      <c r="H98" s="135">
        <f>ROUND(F98*G98,2)</f>
        <v>0</v>
      </c>
      <c r="I98" s="134"/>
      <c r="J98" s="134"/>
      <c r="K98" s="134">
        <f t="shared" ref="K98:K120" si="21">ROUND(H98+J98+I98,2)</f>
        <v>0</v>
      </c>
      <c r="L98" s="105">
        <f t="shared" si="13"/>
        <v>0</v>
      </c>
      <c r="M98" s="87">
        <f t="shared" si="14"/>
        <v>0</v>
      </c>
      <c r="N98" s="87">
        <f t="shared" si="15"/>
        <v>0</v>
      </c>
      <c r="O98" s="87">
        <f t="shared" si="16"/>
        <v>0</v>
      </c>
      <c r="P98" s="88">
        <f t="shared" si="17"/>
        <v>0</v>
      </c>
    </row>
    <row r="99" spans="1:16" ht="26.4" x14ac:dyDescent="0.2">
      <c r="A99" s="160">
        <v>2</v>
      </c>
      <c r="B99" s="174"/>
      <c r="C99" s="184" t="s">
        <v>312</v>
      </c>
      <c r="D99" s="155" t="s">
        <v>70</v>
      </c>
      <c r="E99" s="156">
        <f>E98*1.1</f>
        <v>6.8200000000000012</v>
      </c>
      <c r="F99" s="133"/>
      <c r="G99" s="134"/>
      <c r="H99" s="135"/>
      <c r="I99" s="134"/>
      <c r="J99" s="134"/>
      <c r="K99" s="134">
        <f t="shared" si="21"/>
        <v>0</v>
      </c>
      <c r="L99" s="105">
        <f t="shared" si="13"/>
        <v>0</v>
      </c>
      <c r="M99" s="87">
        <f t="shared" si="14"/>
        <v>0</v>
      </c>
      <c r="N99" s="87">
        <f t="shared" si="15"/>
        <v>0</v>
      </c>
      <c r="O99" s="87">
        <f t="shared" si="16"/>
        <v>0</v>
      </c>
      <c r="P99" s="88">
        <f t="shared" si="17"/>
        <v>0</v>
      </c>
    </row>
    <row r="100" spans="1:16" ht="13.2" x14ac:dyDescent="0.2">
      <c r="A100" s="160">
        <v>3</v>
      </c>
      <c r="B100" s="185"/>
      <c r="C100" s="184" t="s">
        <v>313</v>
      </c>
      <c r="D100" s="155" t="s">
        <v>70</v>
      </c>
      <c r="E100" s="156">
        <f>E98</f>
        <v>6.2</v>
      </c>
      <c r="F100" s="133"/>
      <c r="G100" s="134"/>
      <c r="H100" s="135"/>
      <c r="I100" s="134"/>
      <c r="J100" s="134"/>
      <c r="K100" s="134">
        <f t="shared" si="21"/>
        <v>0</v>
      </c>
      <c r="L100" s="105">
        <f t="shared" si="13"/>
        <v>0</v>
      </c>
      <c r="M100" s="87">
        <f t="shared" si="14"/>
        <v>0</v>
      </c>
      <c r="N100" s="87">
        <f t="shared" si="15"/>
        <v>0</v>
      </c>
      <c r="O100" s="87">
        <f t="shared" si="16"/>
        <v>0</v>
      </c>
      <c r="P100" s="88">
        <f t="shared" si="17"/>
        <v>0</v>
      </c>
    </row>
    <row r="101" spans="1:16" ht="13.2" x14ac:dyDescent="0.2">
      <c r="A101" s="160">
        <v>4</v>
      </c>
      <c r="B101" s="174" t="s">
        <v>56</v>
      </c>
      <c r="C101" s="154" t="s">
        <v>314</v>
      </c>
      <c r="D101" s="155" t="s">
        <v>70</v>
      </c>
      <c r="E101" s="156">
        <f>E98</f>
        <v>6.2</v>
      </c>
      <c r="F101" s="133"/>
      <c r="G101" s="134"/>
      <c r="H101" s="135">
        <f>ROUND(F101*G101,2)</f>
        <v>0</v>
      </c>
      <c r="I101" s="134"/>
      <c r="J101" s="134"/>
      <c r="K101" s="134">
        <f t="shared" si="21"/>
        <v>0</v>
      </c>
      <c r="L101" s="105">
        <f t="shared" si="13"/>
        <v>0</v>
      </c>
      <c r="M101" s="87">
        <f t="shared" si="14"/>
        <v>0</v>
      </c>
      <c r="N101" s="87">
        <f t="shared" si="15"/>
        <v>0</v>
      </c>
      <c r="O101" s="87">
        <f t="shared" si="16"/>
        <v>0</v>
      </c>
      <c r="P101" s="88">
        <f t="shared" si="17"/>
        <v>0</v>
      </c>
    </row>
    <row r="102" spans="1:16" ht="13.2" x14ac:dyDescent="0.2">
      <c r="A102" s="160">
        <v>5</v>
      </c>
      <c r="B102" s="174"/>
      <c r="C102" s="184" t="s">
        <v>315</v>
      </c>
      <c r="D102" s="155" t="s">
        <v>105</v>
      </c>
      <c r="E102" s="156">
        <f>E101*0.018*1.15</f>
        <v>0.12833999999999998</v>
      </c>
      <c r="F102" s="133"/>
      <c r="G102" s="134"/>
      <c r="H102" s="135"/>
      <c r="I102" s="134"/>
      <c r="J102" s="134"/>
      <c r="K102" s="134">
        <f t="shared" si="21"/>
        <v>0</v>
      </c>
      <c r="L102" s="105">
        <f t="shared" si="13"/>
        <v>0</v>
      </c>
      <c r="M102" s="87">
        <f t="shared" si="14"/>
        <v>0</v>
      </c>
      <c r="N102" s="87">
        <f t="shared" si="15"/>
        <v>0</v>
      </c>
      <c r="O102" s="87">
        <f t="shared" si="16"/>
        <v>0</v>
      </c>
      <c r="P102" s="88">
        <f t="shared" si="17"/>
        <v>0</v>
      </c>
    </row>
    <row r="103" spans="1:16" ht="13.2" x14ac:dyDescent="0.2">
      <c r="A103" s="160">
        <v>6</v>
      </c>
      <c r="B103" s="157"/>
      <c r="C103" s="164" t="s">
        <v>316</v>
      </c>
      <c r="D103" s="157" t="s">
        <v>70</v>
      </c>
      <c r="E103" s="162">
        <f>E101</f>
        <v>6.2</v>
      </c>
      <c r="F103" s="133"/>
      <c r="G103" s="134"/>
      <c r="H103" s="135"/>
      <c r="I103" s="134"/>
      <c r="J103" s="134"/>
      <c r="K103" s="134">
        <f t="shared" si="21"/>
        <v>0</v>
      </c>
      <c r="L103" s="105">
        <f t="shared" si="13"/>
        <v>0</v>
      </c>
      <c r="M103" s="87">
        <f t="shared" si="14"/>
        <v>0</v>
      </c>
      <c r="N103" s="87">
        <f t="shared" si="15"/>
        <v>0</v>
      </c>
      <c r="O103" s="87">
        <f t="shared" si="16"/>
        <v>0</v>
      </c>
      <c r="P103" s="88">
        <f t="shared" si="17"/>
        <v>0</v>
      </c>
    </row>
    <row r="104" spans="1:16" ht="13.2" x14ac:dyDescent="0.2">
      <c r="A104" s="160">
        <v>7</v>
      </c>
      <c r="B104" s="174" t="s">
        <v>56</v>
      </c>
      <c r="C104" s="154" t="s">
        <v>319</v>
      </c>
      <c r="D104" s="155" t="s">
        <v>70</v>
      </c>
      <c r="E104" s="156">
        <f>E101</f>
        <v>6.2</v>
      </c>
      <c r="F104" s="133"/>
      <c r="G104" s="134"/>
      <c r="H104" s="135">
        <f>ROUND(F104*G104,2)</f>
        <v>0</v>
      </c>
      <c r="I104" s="134"/>
      <c r="J104" s="134"/>
      <c r="K104" s="134">
        <f t="shared" si="21"/>
        <v>0</v>
      </c>
      <c r="L104" s="105">
        <f t="shared" ref="L104:L106" si="22">ROUND(E104*F104,2)</f>
        <v>0</v>
      </c>
      <c r="M104" s="87">
        <f t="shared" ref="M104:M106" si="23">ROUND(E104*H104,2)</f>
        <v>0</v>
      </c>
      <c r="N104" s="87">
        <f t="shared" ref="N104:N106" si="24">ROUND(E104*I104,2)</f>
        <v>0</v>
      </c>
      <c r="O104" s="87">
        <f t="shared" ref="O104:O106" si="25">ROUND(E104*J104,2)</f>
        <v>0</v>
      </c>
      <c r="P104" s="88">
        <f t="shared" ref="P104:P106" si="26">ROUND(O104+N104+M104,2)</f>
        <v>0</v>
      </c>
    </row>
    <row r="105" spans="1:16" ht="13.2" x14ac:dyDescent="0.2">
      <c r="A105" s="160">
        <v>8</v>
      </c>
      <c r="B105" s="174"/>
      <c r="C105" s="184" t="s">
        <v>320</v>
      </c>
      <c r="D105" s="155" t="s">
        <v>70</v>
      </c>
      <c r="E105" s="156">
        <f>E104*1.2</f>
        <v>7.4399999999999995</v>
      </c>
      <c r="F105" s="133"/>
      <c r="G105" s="134"/>
      <c r="H105" s="135"/>
      <c r="I105" s="134"/>
      <c r="J105" s="134"/>
      <c r="K105" s="134">
        <f t="shared" si="21"/>
        <v>0</v>
      </c>
      <c r="L105" s="105">
        <f t="shared" si="22"/>
        <v>0</v>
      </c>
      <c r="M105" s="87">
        <f t="shared" si="23"/>
        <v>0</v>
      </c>
      <c r="N105" s="87">
        <f t="shared" si="24"/>
        <v>0</v>
      </c>
      <c r="O105" s="87">
        <f t="shared" si="25"/>
        <v>0</v>
      </c>
      <c r="P105" s="88">
        <f t="shared" si="26"/>
        <v>0</v>
      </c>
    </row>
    <row r="106" spans="1:16" ht="13.2" x14ac:dyDescent="0.2">
      <c r="A106" s="160">
        <v>9</v>
      </c>
      <c r="B106" s="157"/>
      <c r="C106" s="164" t="s">
        <v>316</v>
      </c>
      <c r="D106" s="157" t="s">
        <v>70</v>
      </c>
      <c r="E106" s="162">
        <f>E104</f>
        <v>6.2</v>
      </c>
      <c r="F106" s="133"/>
      <c r="G106" s="134"/>
      <c r="H106" s="135"/>
      <c r="I106" s="134"/>
      <c r="J106" s="134"/>
      <c r="K106" s="134">
        <f t="shared" si="21"/>
        <v>0</v>
      </c>
      <c r="L106" s="105">
        <f t="shared" si="22"/>
        <v>0</v>
      </c>
      <c r="M106" s="87">
        <f t="shared" si="23"/>
        <v>0</v>
      </c>
      <c r="N106" s="87">
        <f t="shared" si="24"/>
        <v>0</v>
      </c>
      <c r="O106" s="87">
        <f t="shared" si="25"/>
        <v>0</v>
      </c>
      <c r="P106" s="88">
        <f t="shared" si="26"/>
        <v>0</v>
      </c>
    </row>
    <row r="107" spans="1:16" ht="13.2" x14ac:dyDescent="0.2">
      <c r="A107" s="160">
        <v>10</v>
      </c>
      <c r="B107" s="174" t="s">
        <v>56</v>
      </c>
      <c r="C107" s="154" t="s">
        <v>317</v>
      </c>
      <c r="D107" s="155" t="s">
        <v>70</v>
      </c>
      <c r="E107" s="156">
        <f>E101</f>
        <v>6.2</v>
      </c>
      <c r="F107" s="133"/>
      <c r="G107" s="134"/>
      <c r="H107" s="135">
        <f>ROUND(F107*G107,2)</f>
        <v>0</v>
      </c>
      <c r="I107" s="134"/>
      <c r="J107" s="134"/>
      <c r="K107" s="134">
        <f t="shared" si="21"/>
        <v>0</v>
      </c>
      <c r="L107" s="105">
        <f t="shared" si="13"/>
        <v>0</v>
      </c>
      <c r="M107" s="87">
        <f t="shared" si="14"/>
        <v>0</v>
      </c>
      <c r="N107" s="87">
        <f t="shared" si="15"/>
        <v>0</v>
      </c>
      <c r="O107" s="87">
        <f t="shared" si="16"/>
        <v>0</v>
      </c>
      <c r="P107" s="88">
        <f t="shared" si="17"/>
        <v>0</v>
      </c>
    </row>
    <row r="108" spans="1:16" ht="13.2" x14ac:dyDescent="0.2">
      <c r="A108" s="160">
        <v>11</v>
      </c>
      <c r="B108" s="174"/>
      <c r="C108" s="184" t="s">
        <v>318</v>
      </c>
      <c r="D108" s="155" t="s">
        <v>105</v>
      </c>
      <c r="E108" s="156">
        <f>E107*0.0045*1.15</f>
        <v>3.2084999999999995E-2</v>
      </c>
      <c r="F108" s="133"/>
      <c r="G108" s="134"/>
      <c r="H108" s="135"/>
      <c r="I108" s="134"/>
      <c r="J108" s="134"/>
      <c r="K108" s="134">
        <f t="shared" si="21"/>
        <v>0</v>
      </c>
      <c r="L108" s="105">
        <f t="shared" si="13"/>
        <v>0</v>
      </c>
      <c r="M108" s="87">
        <f t="shared" si="14"/>
        <v>0</v>
      </c>
      <c r="N108" s="87">
        <f t="shared" si="15"/>
        <v>0</v>
      </c>
      <c r="O108" s="87">
        <f t="shared" si="16"/>
        <v>0</v>
      </c>
      <c r="P108" s="88">
        <f t="shared" si="17"/>
        <v>0</v>
      </c>
    </row>
    <row r="109" spans="1:16" ht="13.2" x14ac:dyDescent="0.2">
      <c r="A109" s="160">
        <v>12</v>
      </c>
      <c r="B109" s="157"/>
      <c r="C109" s="164" t="s">
        <v>316</v>
      </c>
      <c r="D109" s="157" t="s">
        <v>70</v>
      </c>
      <c r="E109" s="162">
        <f>E107</f>
        <v>6.2</v>
      </c>
      <c r="F109" s="133"/>
      <c r="G109" s="134"/>
      <c r="H109" s="135"/>
      <c r="I109" s="134"/>
      <c r="J109" s="134"/>
      <c r="K109" s="134">
        <f t="shared" si="21"/>
        <v>0</v>
      </c>
      <c r="L109" s="105">
        <f t="shared" si="13"/>
        <v>0</v>
      </c>
      <c r="M109" s="87">
        <f t="shared" si="14"/>
        <v>0</v>
      </c>
      <c r="N109" s="87">
        <f t="shared" si="15"/>
        <v>0</v>
      </c>
      <c r="O109" s="87">
        <f t="shared" si="16"/>
        <v>0</v>
      </c>
      <c r="P109" s="88">
        <f t="shared" si="17"/>
        <v>0</v>
      </c>
    </row>
    <row r="110" spans="1:16" ht="13.2" x14ac:dyDescent="0.2">
      <c r="A110" s="160">
        <v>13</v>
      </c>
      <c r="B110" s="174" t="s">
        <v>56</v>
      </c>
      <c r="C110" s="154" t="s">
        <v>321</v>
      </c>
      <c r="D110" s="155" t="s">
        <v>58</v>
      </c>
      <c r="E110" s="156">
        <v>10.4</v>
      </c>
      <c r="F110" s="133"/>
      <c r="G110" s="134"/>
      <c r="H110" s="135">
        <f>ROUND(F110*G110,2)</f>
        <v>0</v>
      </c>
      <c r="I110" s="134"/>
      <c r="J110" s="134"/>
      <c r="K110" s="134">
        <f t="shared" si="21"/>
        <v>0</v>
      </c>
      <c r="L110" s="105">
        <f t="shared" si="13"/>
        <v>0</v>
      </c>
      <c r="M110" s="87">
        <f t="shared" si="14"/>
        <v>0</v>
      </c>
      <c r="N110" s="87">
        <f t="shared" si="15"/>
        <v>0</v>
      </c>
      <c r="O110" s="87">
        <f t="shared" si="16"/>
        <v>0</v>
      </c>
      <c r="P110" s="88">
        <f t="shared" si="17"/>
        <v>0</v>
      </c>
    </row>
    <row r="111" spans="1:16" ht="26.4" x14ac:dyDescent="0.2">
      <c r="A111" s="160">
        <v>14</v>
      </c>
      <c r="B111" s="174" t="s">
        <v>56</v>
      </c>
      <c r="C111" s="154" t="s">
        <v>364</v>
      </c>
      <c r="D111" s="155" t="s">
        <v>58</v>
      </c>
      <c r="E111" s="156">
        <v>10.4</v>
      </c>
      <c r="F111" s="133"/>
      <c r="G111" s="134"/>
      <c r="H111" s="135">
        <f>ROUND(F111*G111,2)</f>
        <v>0</v>
      </c>
      <c r="I111" s="134"/>
      <c r="J111" s="134"/>
      <c r="K111" s="134">
        <f t="shared" si="21"/>
        <v>0</v>
      </c>
      <c r="L111" s="105">
        <f t="shared" si="13"/>
        <v>0</v>
      </c>
      <c r="M111" s="87">
        <f t="shared" si="14"/>
        <v>0</v>
      </c>
      <c r="N111" s="87">
        <f t="shared" si="15"/>
        <v>0</v>
      </c>
      <c r="O111" s="87">
        <f t="shared" si="16"/>
        <v>0</v>
      </c>
      <c r="P111" s="88">
        <f t="shared" si="17"/>
        <v>0</v>
      </c>
    </row>
    <row r="112" spans="1:16" ht="39.6" x14ac:dyDescent="0.2">
      <c r="A112" s="160">
        <v>15</v>
      </c>
      <c r="B112" s="174" t="s">
        <v>56</v>
      </c>
      <c r="C112" s="154" t="s">
        <v>365</v>
      </c>
      <c r="D112" s="155" t="s">
        <v>58</v>
      </c>
      <c r="E112" s="156">
        <v>4.8</v>
      </c>
      <c r="F112" s="133"/>
      <c r="G112" s="134"/>
      <c r="H112" s="135">
        <f>ROUND(F112*G112,2)</f>
        <v>0</v>
      </c>
      <c r="I112" s="134"/>
      <c r="J112" s="134"/>
      <c r="K112" s="134">
        <f t="shared" si="21"/>
        <v>0</v>
      </c>
      <c r="L112" s="105">
        <f t="shared" si="13"/>
        <v>0</v>
      </c>
      <c r="M112" s="87">
        <f t="shared" si="14"/>
        <v>0</v>
      </c>
      <c r="N112" s="87">
        <f t="shared" si="15"/>
        <v>0</v>
      </c>
      <c r="O112" s="87">
        <f t="shared" si="16"/>
        <v>0</v>
      </c>
      <c r="P112" s="88">
        <f t="shared" si="17"/>
        <v>0</v>
      </c>
    </row>
    <row r="113" spans="1:16" ht="13.2" x14ac:dyDescent="0.2">
      <c r="A113" s="160">
        <v>16</v>
      </c>
      <c r="B113" s="157" t="s">
        <v>56</v>
      </c>
      <c r="C113" s="163" t="s">
        <v>350</v>
      </c>
      <c r="D113" s="157" t="s">
        <v>70</v>
      </c>
      <c r="E113" s="162">
        <v>9.4</v>
      </c>
      <c r="F113" s="133"/>
      <c r="G113" s="134"/>
      <c r="H113" s="135">
        <f t="shared" ref="H113" si="27">ROUND(F113*G113,2)</f>
        <v>0</v>
      </c>
      <c r="I113" s="134"/>
      <c r="J113" s="134"/>
      <c r="K113" s="134">
        <f t="shared" si="21"/>
        <v>0</v>
      </c>
      <c r="L113" s="105">
        <f t="shared" si="13"/>
        <v>0</v>
      </c>
      <c r="M113" s="87">
        <f t="shared" si="14"/>
        <v>0</v>
      </c>
      <c r="N113" s="87">
        <f t="shared" si="15"/>
        <v>0</v>
      </c>
      <c r="O113" s="87">
        <f t="shared" si="16"/>
        <v>0</v>
      </c>
      <c r="P113" s="88">
        <f t="shared" si="17"/>
        <v>0</v>
      </c>
    </row>
    <row r="114" spans="1:16" ht="13.2" x14ac:dyDescent="0.2">
      <c r="A114" s="160">
        <v>17</v>
      </c>
      <c r="B114" s="157"/>
      <c r="C114" s="164" t="s">
        <v>160</v>
      </c>
      <c r="D114" s="157" t="s">
        <v>157</v>
      </c>
      <c r="E114" s="162">
        <f>E113*0.12</f>
        <v>1.1279999999999999</v>
      </c>
      <c r="F114" s="133"/>
      <c r="G114" s="134"/>
      <c r="H114" s="135"/>
      <c r="I114" s="134"/>
      <c r="J114" s="134"/>
      <c r="K114" s="134">
        <f t="shared" si="21"/>
        <v>0</v>
      </c>
      <c r="L114" s="105">
        <f t="shared" si="13"/>
        <v>0</v>
      </c>
      <c r="M114" s="87">
        <f t="shared" si="14"/>
        <v>0</v>
      </c>
      <c r="N114" s="87">
        <f t="shared" si="15"/>
        <v>0</v>
      </c>
      <c r="O114" s="87">
        <f t="shared" si="16"/>
        <v>0</v>
      </c>
      <c r="P114" s="88">
        <f t="shared" si="17"/>
        <v>0</v>
      </c>
    </row>
    <row r="115" spans="1:16" ht="13.2" x14ac:dyDescent="0.2">
      <c r="A115" s="160">
        <v>18</v>
      </c>
      <c r="B115" s="157"/>
      <c r="C115" s="164" t="s">
        <v>178</v>
      </c>
      <c r="D115" s="157" t="s">
        <v>165</v>
      </c>
      <c r="E115" s="173">
        <f>E113*4.2</f>
        <v>39.480000000000004</v>
      </c>
      <c r="F115" s="133"/>
      <c r="G115" s="134"/>
      <c r="H115" s="135"/>
      <c r="I115" s="134"/>
      <c r="J115" s="134"/>
      <c r="K115" s="134">
        <f t="shared" si="21"/>
        <v>0</v>
      </c>
      <c r="L115" s="105">
        <f t="shared" si="13"/>
        <v>0</v>
      </c>
      <c r="M115" s="87">
        <f t="shared" si="14"/>
        <v>0</v>
      </c>
      <c r="N115" s="87">
        <f t="shared" si="15"/>
        <v>0</v>
      </c>
      <c r="O115" s="87">
        <f t="shared" si="16"/>
        <v>0</v>
      </c>
      <c r="P115" s="88">
        <f t="shared" si="17"/>
        <v>0</v>
      </c>
    </row>
    <row r="116" spans="1:16" ht="13.2" x14ac:dyDescent="0.2">
      <c r="A116" s="160">
        <v>19</v>
      </c>
      <c r="B116" s="157"/>
      <c r="C116" s="164" t="s">
        <v>170</v>
      </c>
      <c r="D116" s="157" t="s">
        <v>70</v>
      </c>
      <c r="E116" s="162">
        <f>E113*1.2</f>
        <v>11.28</v>
      </c>
      <c r="F116" s="133"/>
      <c r="G116" s="134"/>
      <c r="H116" s="135"/>
      <c r="I116" s="134"/>
      <c r="J116" s="134"/>
      <c r="K116" s="134">
        <f t="shared" si="21"/>
        <v>0</v>
      </c>
      <c r="L116" s="105">
        <f t="shared" si="13"/>
        <v>0</v>
      </c>
      <c r="M116" s="87">
        <f t="shared" si="14"/>
        <v>0</v>
      </c>
      <c r="N116" s="87">
        <f t="shared" si="15"/>
        <v>0</v>
      </c>
      <c r="O116" s="87">
        <f t="shared" si="16"/>
        <v>0</v>
      </c>
      <c r="P116" s="88">
        <f t="shared" si="17"/>
        <v>0</v>
      </c>
    </row>
    <row r="117" spans="1:16" ht="13.2" x14ac:dyDescent="0.2">
      <c r="A117" s="160">
        <v>20</v>
      </c>
      <c r="B117" s="157"/>
      <c r="C117" s="164" t="s">
        <v>366</v>
      </c>
      <c r="D117" s="157" t="s">
        <v>58</v>
      </c>
      <c r="E117" s="162">
        <f>15.2*1.15</f>
        <v>17.479999999999997</v>
      </c>
      <c r="F117" s="133"/>
      <c r="G117" s="134"/>
      <c r="H117" s="135"/>
      <c r="I117" s="134"/>
      <c r="J117" s="134"/>
      <c r="K117" s="134">
        <f t="shared" si="21"/>
        <v>0</v>
      </c>
      <c r="L117" s="105">
        <f t="shared" si="13"/>
        <v>0</v>
      </c>
      <c r="M117" s="87">
        <f t="shared" si="14"/>
        <v>0</v>
      </c>
      <c r="N117" s="87">
        <f t="shared" si="15"/>
        <v>0</v>
      </c>
      <c r="O117" s="87">
        <f t="shared" si="16"/>
        <v>0</v>
      </c>
      <c r="P117" s="88">
        <f t="shared" si="17"/>
        <v>0</v>
      </c>
    </row>
    <row r="118" spans="1:16" ht="13.2" x14ac:dyDescent="0.2">
      <c r="A118" s="160">
        <v>21</v>
      </c>
      <c r="B118" s="157" t="s">
        <v>56</v>
      </c>
      <c r="C118" s="163" t="s">
        <v>248</v>
      </c>
      <c r="D118" s="157" t="s">
        <v>70</v>
      </c>
      <c r="E118" s="162">
        <f>E113</f>
        <v>9.4</v>
      </c>
      <c r="F118" s="133"/>
      <c r="G118" s="134"/>
      <c r="H118" s="135">
        <f t="shared" ref="H118" si="28">ROUND(F118*G118,2)</f>
        <v>0</v>
      </c>
      <c r="I118" s="134"/>
      <c r="J118" s="134"/>
      <c r="K118" s="134">
        <f t="shared" si="21"/>
        <v>0</v>
      </c>
      <c r="L118" s="105">
        <f t="shared" si="13"/>
        <v>0</v>
      </c>
      <c r="M118" s="87">
        <f t="shared" si="14"/>
        <v>0</v>
      </c>
      <c r="N118" s="87">
        <f t="shared" si="15"/>
        <v>0</v>
      </c>
      <c r="O118" s="87">
        <f t="shared" si="16"/>
        <v>0</v>
      </c>
      <c r="P118" s="88">
        <f t="shared" si="17"/>
        <v>0</v>
      </c>
    </row>
    <row r="119" spans="1:16" ht="13.2" x14ac:dyDescent="0.2">
      <c r="A119" s="160">
        <v>22</v>
      </c>
      <c r="B119" s="157"/>
      <c r="C119" s="164" t="s">
        <v>351</v>
      </c>
      <c r="D119" s="157" t="s">
        <v>157</v>
      </c>
      <c r="E119" s="162">
        <f>E118*0.12</f>
        <v>1.1279999999999999</v>
      </c>
      <c r="F119" s="133"/>
      <c r="G119" s="134"/>
      <c r="H119" s="135"/>
      <c r="I119" s="134"/>
      <c r="J119" s="134"/>
      <c r="K119" s="134">
        <f t="shared" si="21"/>
        <v>0</v>
      </c>
      <c r="L119" s="105">
        <f t="shared" si="13"/>
        <v>0</v>
      </c>
      <c r="M119" s="87">
        <f t="shared" si="14"/>
        <v>0</v>
      </c>
      <c r="N119" s="87">
        <f t="shared" si="15"/>
        <v>0</v>
      </c>
      <c r="O119" s="87">
        <f t="shared" si="16"/>
        <v>0</v>
      </c>
      <c r="P119" s="88">
        <f t="shared" si="17"/>
        <v>0</v>
      </c>
    </row>
    <row r="120" spans="1:16" ht="26.4" x14ac:dyDescent="0.2">
      <c r="A120" s="160">
        <v>23</v>
      </c>
      <c r="B120" s="157"/>
      <c r="C120" s="164" t="s">
        <v>352</v>
      </c>
      <c r="D120" s="157" t="s">
        <v>165</v>
      </c>
      <c r="E120" s="162">
        <f>E118*4</f>
        <v>37.6</v>
      </c>
      <c r="F120" s="133"/>
      <c r="G120" s="134"/>
      <c r="H120" s="135"/>
      <c r="I120" s="134"/>
      <c r="J120" s="134"/>
      <c r="K120" s="134">
        <f t="shared" si="21"/>
        <v>0</v>
      </c>
      <c r="L120" s="105">
        <f t="shared" si="13"/>
        <v>0</v>
      </c>
      <c r="M120" s="87">
        <f t="shared" si="14"/>
        <v>0</v>
      </c>
      <c r="N120" s="87">
        <f t="shared" si="15"/>
        <v>0</v>
      </c>
      <c r="O120" s="87">
        <f t="shared" si="16"/>
        <v>0</v>
      </c>
      <c r="P120" s="88">
        <f t="shared" si="17"/>
        <v>0</v>
      </c>
    </row>
    <row r="121" spans="1:16" ht="26.4" x14ac:dyDescent="0.2">
      <c r="A121" s="160">
        <v>24</v>
      </c>
      <c r="B121" s="174" t="s">
        <v>56</v>
      </c>
      <c r="C121" s="154" t="s">
        <v>367</v>
      </c>
      <c r="D121" s="155" t="s">
        <v>58</v>
      </c>
      <c r="E121" s="156">
        <v>12.8</v>
      </c>
      <c r="F121" s="133"/>
      <c r="G121" s="134"/>
      <c r="H121" s="135">
        <f>ROUND(F121*G121,2)</f>
        <v>0</v>
      </c>
      <c r="I121" s="134"/>
      <c r="J121" s="134"/>
      <c r="K121" s="134">
        <f>ROUND(H121+J121+I121,2)</f>
        <v>0</v>
      </c>
      <c r="L121" s="105">
        <f t="shared" si="13"/>
        <v>0</v>
      </c>
      <c r="M121" s="87">
        <f t="shared" si="14"/>
        <v>0</v>
      </c>
      <c r="N121" s="87">
        <f t="shared" si="15"/>
        <v>0</v>
      </c>
      <c r="O121" s="87">
        <f t="shared" si="16"/>
        <v>0</v>
      </c>
      <c r="P121" s="88">
        <f t="shared" si="17"/>
        <v>0</v>
      </c>
    </row>
    <row r="122" spans="1:16" ht="27" thickBot="1" x14ac:dyDescent="0.25">
      <c r="A122" s="160">
        <v>25</v>
      </c>
      <c r="B122" s="174" t="s">
        <v>56</v>
      </c>
      <c r="C122" s="154" t="s">
        <v>368</v>
      </c>
      <c r="D122" s="155" t="s">
        <v>58</v>
      </c>
      <c r="E122" s="156">
        <v>10</v>
      </c>
      <c r="F122" s="133"/>
      <c r="G122" s="134"/>
      <c r="H122" s="135">
        <f>ROUND(F122*G122,2)</f>
        <v>0</v>
      </c>
      <c r="I122" s="134"/>
      <c r="J122" s="134"/>
      <c r="K122" s="134">
        <f>ROUND(H122+J122+I122,2)</f>
        <v>0</v>
      </c>
      <c r="L122" s="105">
        <f t="shared" si="13"/>
        <v>0</v>
      </c>
      <c r="M122" s="87">
        <f t="shared" si="14"/>
        <v>0</v>
      </c>
      <c r="N122" s="87">
        <f t="shared" si="15"/>
        <v>0</v>
      </c>
      <c r="O122" s="87">
        <f t="shared" si="16"/>
        <v>0</v>
      </c>
      <c r="P122" s="88">
        <f t="shared" si="17"/>
        <v>0</v>
      </c>
    </row>
    <row r="123" spans="1:16" ht="10.8" thickBot="1" x14ac:dyDescent="0.25">
      <c r="A123" s="282"/>
      <c r="B123" s="283"/>
      <c r="C123" s="283"/>
      <c r="D123" s="283"/>
      <c r="E123" s="283"/>
      <c r="F123" s="283"/>
      <c r="G123" s="283"/>
      <c r="H123" s="283"/>
      <c r="I123" s="283"/>
      <c r="J123" s="283"/>
      <c r="K123" s="284"/>
      <c r="L123" s="52">
        <f>SUM(L14:L122)</f>
        <v>0</v>
      </c>
      <c r="M123" s="53">
        <f>SUM(M14:M122)</f>
        <v>0</v>
      </c>
      <c r="N123" s="53">
        <f>SUM(N14:N122)</f>
        <v>0</v>
      </c>
      <c r="O123" s="53">
        <f>SUM(O14:O122)</f>
        <v>0</v>
      </c>
      <c r="P123" s="54">
        <f>SUM(P14:P122)</f>
        <v>0</v>
      </c>
    </row>
    <row r="124" spans="1:16" x14ac:dyDescent="0.2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</row>
    <row r="125" spans="1:16" x14ac:dyDescent="0.2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</row>
    <row r="126" spans="1:16" x14ac:dyDescent="0.2">
      <c r="A126" s="1" t="s">
        <v>18</v>
      </c>
      <c r="B126" s="14"/>
      <c r="C126" s="281">
        <f>'Kops a'!C35:H35</f>
        <v>0</v>
      </c>
      <c r="D126" s="281"/>
      <c r="E126" s="281"/>
      <c r="F126" s="281"/>
      <c r="G126" s="281"/>
      <c r="H126" s="281"/>
      <c r="I126" s="14"/>
      <c r="J126" s="14"/>
      <c r="K126" s="14"/>
      <c r="L126" s="14"/>
      <c r="M126" s="14"/>
      <c r="N126" s="14"/>
      <c r="O126" s="14"/>
      <c r="P126" s="14"/>
    </row>
    <row r="127" spans="1:16" x14ac:dyDescent="0.2">
      <c r="A127" s="14"/>
      <c r="B127" s="14"/>
      <c r="C127" s="216" t="s">
        <v>19</v>
      </c>
      <c r="D127" s="216"/>
      <c r="E127" s="216"/>
      <c r="F127" s="216"/>
      <c r="G127" s="216"/>
      <c r="H127" s="216"/>
      <c r="I127" s="14"/>
      <c r="J127" s="14"/>
      <c r="K127" s="14"/>
      <c r="L127" s="14"/>
      <c r="M127" s="14"/>
      <c r="N127" s="14"/>
      <c r="O127" s="14"/>
      <c r="P127" s="14"/>
    </row>
    <row r="128" spans="1:16" x14ac:dyDescent="0.2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</row>
    <row r="129" spans="1:16" x14ac:dyDescent="0.2">
      <c r="A129" s="70" t="str">
        <f>'Kops a'!A38</f>
        <v>Tāme sastādīta</v>
      </c>
      <c r="B129" s="71"/>
      <c r="C129" s="71"/>
      <c r="D129" s="71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</row>
    <row r="130" spans="1:16" x14ac:dyDescent="0.2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</row>
    <row r="131" spans="1:16" x14ac:dyDescent="0.2">
      <c r="A131" s="1" t="s">
        <v>38</v>
      </c>
      <c r="B131" s="14"/>
      <c r="C131" s="281">
        <f>'Kops a'!C40:H40</f>
        <v>0</v>
      </c>
      <c r="D131" s="281"/>
      <c r="E131" s="281"/>
      <c r="F131" s="281"/>
      <c r="G131" s="281"/>
      <c r="H131" s="281"/>
      <c r="I131" s="14"/>
      <c r="J131" s="14"/>
      <c r="K131" s="14"/>
      <c r="L131" s="14"/>
      <c r="M131" s="14"/>
      <c r="N131" s="14"/>
      <c r="O131" s="14"/>
      <c r="P131" s="14"/>
    </row>
    <row r="132" spans="1:16" x14ac:dyDescent="0.2">
      <c r="A132" s="14"/>
      <c r="B132" s="14"/>
      <c r="C132" s="216" t="s">
        <v>19</v>
      </c>
      <c r="D132" s="216"/>
      <c r="E132" s="216"/>
      <c r="F132" s="216"/>
      <c r="G132" s="216"/>
      <c r="H132" s="216"/>
      <c r="I132" s="14"/>
      <c r="J132" s="14"/>
      <c r="K132" s="14"/>
      <c r="L132" s="14"/>
      <c r="M132" s="14"/>
      <c r="N132" s="14"/>
      <c r="O132" s="14"/>
      <c r="P132" s="14"/>
    </row>
    <row r="133" spans="1:16" x14ac:dyDescent="0.2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</row>
    <row r="134" spans="1:16" x14ac:dyDescent="0.2">
      <c r="A134" s="70" t="s">
        <v>84</v>
      </c>
      <c r="B134" s="71"/>
      <c r="C134" s="75">
        <f>'Kops a'!C43</f>
        <v>0</v>
      </c>
      <c r="D134" s="39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</row>
    <row r="135" spans="1:16" x14ac:dyDescent="0.2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</row>
  </sheetData>
  <mergeCells count="25">
    <mergeCell ref="C132:H132"/>
    <mergeCell ref="A123:K123"/>
    <mergeCell ref="C126:H126"/>
    <mergeCell ref="C127:H127"/>
    <mergeCell ref="C131:H131"/>
    <mergeCell ref="D8:L8"/>
    <mergeCell ref="Q30:Y30"/>
    <mergeCell ref="Q37:Y37"/>
    <mergeCell ref="Q43:Y43"/>
    <mergeCell ref="N9:O9"/>
    <mergeCell ref="L12:P12"/>
    <mergeCell ref="F12:K12"/>
    <mergeCell ref="A9:F9"/>
    <mergeCell ref="J9:M9"/>
    <mergeCell ref="A12:A13"/>
    <mergeCell ref="B12:B13"/>
    <mergeCell ref="C12:C13"/>
    <mergeCell ref="D12:D13"/>
    <mergeCell ref="E12:E13"/>
    <mergeCell ref="C2:I2"/>
    <mergeCell ref="C3:I3"/>
    <mergeCell ref="D5:L5"/>
    <mergeCell ref="D6:L6"/>
    <mergeCell ref="D7:L7"/>
    <mergeCell ref="C4:I4"/>
  </mergeCells>
  <conditionalFormatting sqref="I15:J103 A15:G102 B107:G122 I107:J122 B103:G103 A103:A122">
    <cfRule type="cellIs" dxfId="143" priority="29" operator="equal">
      <formula>0</formula>
    </cfRule>
  </conditionalFormatting>
  <conditionalFormatting sqref="N9:O9 H14:H103 K14:P103 K107:P122 H107:H122 L104:P106">
    <cfRule type="cellIs" dxfId="142" priority="28" operator="equal">
      <formula>0</formula>
    </cfRule>
  </conditionalFormatting>
  <conditionalFormatting sqref="A9:F9">
    <cfRule type="containsText" dxfId="141" priority="26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40" priority="25" operator="equal">
      <formula>0</formula>
    </cfRule>
  </conditionalFormatting>
  <conditionalFormatting sqref="O10">
    <cfRule type="cellIs" dxfId="139" priority="24" operator="equal">
      <formula>"20__. gada __. _________"</formula>
    </cfRule>
  </conditionalFormatting>
  <conditionalFormatting sqref="A123:K123">
    <cfRule type="containsText" dxfId="138" priority="23" operator="containsText" text="Tiešās izmaksas kopā, t. sk. darba devēja sociālais nodoklis __.__% ">
      <formula>NOT(ISERROR(SEARCH("Tiešās izmaksas kopā, t. sk. darba devēja sociālais nodoklis __.__% ",A123)))</formula>
    </cfRule>
  </conditionalFormatting>
  <conditionalFormatting sqref="L123:P123">
    <cfRule type="cellIs" dxfId="137" priority="18" operator="equal">
      <formula>0</formula>
    </cfRule>
  </conditionalFormatting>
  <conditionalFormatting sqref="C4:I4">
    <cfRule type="cellIs" dxfId="136" priority="17" operator="equal">
      <formula>0</formula>
    </cfRule>
  </conditionalFormatting>
  <conditionalFormatting sqref="D5:L8">
    <cfRule type="cellIs" dxfId="135" priority="13" operator="equal">
      <formula>0</formula>
    </cfRule>
  </conditionalFormatting>
  <conditionalFormatting sqref="A14:B14 D14:G14">
    <cfRule type="cellIs" dxfId="134" priority="12" operator="equal">
      <formula>0</formula>
    </cfRule>
  </conditionalFormatting>
  <conditionalFormatting sqref="C14">
    <cfRule type="cellIs" dxfId="133" priority="11" operator="equal">
      <formula>0</formula>
    </cfRule>
  </conditionalFormatting>
  <conditionalFormatting sqref="I14:J14">
    <cfRule type="cellIs" dxfId="132" priority="10" operator="equal">
      <formula>0</formula>
    </cfRule>
  </conditionalFormatting>
  <conditionalFormatting sqref="P10">
    <cfRule type="cellIs" dxfId="131" priority="9" operator="equal">
      <formula>"20__. gada __. _________"</formula>
    </cfRule>
  </conditionalFormatting>
  <conditionalFormatting sqref="C131:H131">
    <cfRule type="cellIs" dxfId="130" priority="6" operator="equal">
      <formula>0</formula>
    </cfRule>
  </conditionalFormatting>
  <conditionalFormatting sqref="C126:H126">
    <cfRule type="cellIs" dxfId="129" priority="5" operator="equal">
      <formula>0</formula>
    </cfRule>
  </conditionalFormatting>
  <conditionalFormatting sqref="C131:H131 C134 C126:H126">
    <cfRule type="cellIs" dxfId="128" priority="4" operator="equal">
      <formula>0</formula>
    </cfRule>
  </conditionalFormatting>
  <conditionalFormatting sqref="D1">
    <cfRule type="cellIs" dxfId="127" priority="3" operator="equal">
      <formula>0</formula>
    </cfRule>
  </conditionalFormatting>
  <conditionalFormatting sqref="I104:J106 B104:G106">
    <cfRule type="cellIs" dxfId="126" priority="2" operator="equal">
      <formula>0</formula>
    </cfRule>
  </conditionalFormatting>
  <conditionalFormatting sqref="H104:H106 K104:K106">
    <cfRule type="cellIs" dxfId="125" priority="1" operator="equal">
      <formula>0</formula>
    </cfRule>
  </conditionalFormatting>
  <pageMargins left="0.7" right="0.7" top="0.75" bottom="0.75" header="0.3" footer="0.3"/>
  <pageSetup paperSize="9" scale="90" orientation="landscape" r:id="rId1"/>
  <rowBreaks count="2" manualBreakCount="2">
    <brk id="31" max="15" man="1"/>
    <brk id="53" max="15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36249DFF-DD18-40B1-AB61-D280DA74812E}">
            <xm:f>NOT(ISERROR(SEARCH("Tāme sastādīta ____. gada ___. ______________",A129)))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A129</xm:sqref>
        </x14:conditionalFormatting>
        <x14:conditionalFormatting xmlns:xm="http://schemas.microsoft.com/office/excel/2006/main">
          <x14:cfRule type="containsText" priority="7" operator="containsText" id="{708D048F-4463-4EB3-AF79-B8653AFFB42B}">
            <xm:f>NOT(ISERROR(SEARCH("Sertifikāta Nr. _________________________________",A134)))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A134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3</vt:i4>
      </vt:variant>
    </vt:vector>
  </HeadingPairs>
  <TitlesOfParts>
    <vt:vector size="18" baseType="lpstr">
      <vt:lpstr>Kopt a</vt:lpstr>
      <vt:lpstr>Kops a</vt:lpstr>
      <vt:lpstr>1a</vt:lpstr>
      <vt:lpstr>2a</vt:lpstr>
      <vt:lpstr>3a</vt:lpstr>
      <vt:lpstr>4a</vt:lpstr>
      <vt:lpstr>5a</vt:lpstr>
      <vt:lpstr>6a</vt:lpstr>
      <vt:lpstr>7a</vt:lpstr>
      <vt:lpstr>8a</vt:lpstr>
      <vt:lpstr>9a</vt:lpstr>
      <vt:lpstr>10a</vt:lpstr>
      <vt:lpstr>11a</vt:lpstr>
      <vt:lpstr>12a</vt:lpstr>
      <vt:lpstr>13a</vt:lpstr>
      <vt:lpstr>'10a'!Print_Area</vt:lpstr>
      <vt:lpstr>'5a'!Print_Area</vt:lpstr>
      <vt:lpstr>'7a'!Print_Area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Armands Ūbelis</dc:creator>
  <cp:keywords/>
  <dc:description/>
  <cp:lastModifiedBy>User</cp:lastModifiedBy>
  <cp:revision/>
  <dcterms:created xsi:type="dcterms:W3CDTF">2019-03-11T11:42:22Z</dcterms:created>
  <dcterms:modified xsi:type="dcterms:W3CDTF">2021-09-20T11:46:10Z</dcterms:modified>
  <cp:category/>
  <cp:contentStatus/>
</cp:coreProperties>
</file>