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asta 34\Iepirkums\"/>
    </mc:Choice>
  </mc:AlternateContent>
  <xr:revisionPtr revIDLastSave="0" documentId="13_ncr:1_{E3C08855-799F-4D5D-A8F4-D295E18F028B}" xr6:coauthVersionLast="46" xr6:coauthVersionMax="46" xr10:uidLastSave="{00000000-0000-0000-0000-000000000000}"/>
  <bookViews>
    <workbookView xWindow="-108" yWindow="-108" windowWidth="23256" windowHeight="12576" tabRatio="846" activeTab="2" xr2:uid="{00000000-000D-0000-FFFF-FFFF00000000}"/>
  </bookViews>
  <sheets>
    <sheet name="Kopt a" sheetId="1" r:id="rId1"/>
    <sheet name="Kops a" sheetId="2" r:id="rId2"/>
    <sheet name="1a" sheetId="3" r:id="rId3"/>
    <sheet name="2a" sheetId="4" r:id="rId4"/>
    <sheet name="3a" sheetId="5" r:id="rId5"/>
    <sheet name="4a" sheetId="6" r:id="rId6"/>
    <sheet name="5a" sheetId="7" r:id="rId7"/>
    <sheet name="6a" sheetId="8" r:id="rId8"/>
    <sheet name="7a" sheetId="9" r:id="rId9"/>
    <sheet name="8a" sheetId="10" r:id="rId10"/>
    <sheet name="9a" sheetId="15" r:id="rId11"/>
    <sheet name="10a" sheetId="11" r:id="rId12"/>
    <sheet name="11a" sheetId="12" r:id="rId13"/>
    <sheet name="12a" sheetId="13" r:id="rId14"/>
    <sheet name="13a" sheetId="14" r:id="rId1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1" l="1"/>
  <c r="E179" i="7" l="1"/>
  <c r="E177" i="7"/>
  <c r="E176" i="7"/>
  <c r="E174" i="7"/>
  <c r="E163" i="7"/>
  <c r="E158" i="7"/>
  <c r="E157" i="7"/>
  <c r="E156" i="7"/>
  <c r="E153" i="7"/>
  <c r="H24" i="6"/>
  <c r="O24" i="6" s="1"/>
  <c r="L24" i="6"/>
  <c r="N24" i="6"/>
  <c r="P24" i="6" l="1"/>
  <c r="M24" i="6"/>
  <c r="K24" i="6"/>
  <c r="E32" i="3"/>
  <c r="E201" i="10" l="1"/>
  <c r="E208" i="10" s="1"/>
  <c r="K215" i="10"/>
  <c r="K214" i="10"/>
  <c r="L213" i="10"/>
  <c r="H213" i="10"/>
  <c r="M213" i="10" s="1"/>
  <c r="E213" i="10"/>
  <c r="E214" i="10" s="1"/>
  <c r="O214" i="10" s="1"/>
  <c r="E212" i="10"/>
  <c r="O212" i="10" s="1"/>
  <c r="K211" i="10"/>
  <c r="K210" i="10"/>
  <c r="K209" i="10"/>
  <c r="H208" i="10"/>
  <c r="E177" i="10"/>
  <c r="E184" i="10" s="1"/>
  <c r="K191" i="10"/>
  <c r="E191" i="10"/>
  <c r="N191" i="10" s="1"/>
  <c r="K190" i="10"/>
  <c r="E190" i="10"/>
  <c r="N190" i="10" s="1"/>
  <c r="H189" i="10"/>
  <c r="M189" i="10" s="1"/>
  <c r="E189" i="10"/>
  <c r="L189" i="10" s="1"/>
  <c r="E188" i="10"/>
  <c r="M188" i="10" s="1"/>
  <c r="K187" i="10"/>
  <c r="K186" i="10"/>
  <c r="K185" i="10"/>
  <c r="H184" i="10"/>
  <c r="E153" i="10"/>
  <c r="E160" i="10" s="1"/>
  <c r="E124" i="10"/>
  <c r="E131" i="10" s="1"/>
  <c r="E83" i="10"/>
  <c r="E90" i="10" s="1"/>
  <c r="E93" i="10" s="1"/>
  <c r="N93" i="10" s="1"/>
  <c r="E52" i="10"/>
  <c r="E59" i="10" s="1"/>
  <c r="E21" i="10"/>
  <c r="E28" i="10" s="1"/>
  <c r="E165" i="10"/>
  <c r="L165" i="10" s="1"/>
  <c r="K167" i="10"/>
  <c r="K166" i="10"/>
  <c r="H165" i="10"/>
  <c r="O164" i="10"/>
  <c r="E164" i="10"/>
  <c r="M164" i="10" s="1"/>
  <c r="K163" i="10"/>
  <c r="K162" i="10"/>
  <c r="K161" i="10"/>
  <c r="H160" i="10"/>
  <c r="K138" i="10"/>
  <c r="K137" i="10"/>
  <c r="H136" i="10"/>
  <c r="E136" i="10"/>
  <c r="K135" i="10"/>
  <c r="E135" i="10"/>
  <c r="O135" i="10" s="1"/>
  <c r="K134" i="10"/>
  <c r="K133" i="10"/>
  <c r="K132" i="10"/>
  <c r="H131" i="10"/>
  <c r="K97" i="10"/>
  <c r="K96" i="10"/>
  <c r="E96" i="10"/>
  <c r="O96" i="10" s="1"/>
  <c r="H95" i="10"/>
  <c r="E95" i="10"/>
  <c r="L95" i="10" s="1"/>
  <c r="K94" i="10"/>
  <c r="E94" i="10"/>
  <c r="O94" i="10" s="1"/>
  <c r="K93" i="10"/>
  <c r="K92" i="10"/>
  <c r="K91" i="10"/>
  <c r="H90" i="10"/>
  <c r="E64" i="10"/>
  <c r="E65" i="10" s="1"/>
  <c r="M65" i="10" s="1"/>
  <c r="K66" i="10"/>
  <c r="E66" i="10"/>
  <c r="M66" i="10" s="1"/>
  <c r="K65" i="10"/>
  <c r="H64" i="10"/>
  <c r="M63" i="10"/>
  <c r="N63" i="10"/>
  <c r="E63" i="10"/>
  <c r="L63" i="10" s="1"/>
  <c r="K62" i="10"/>
  <c r="K61" i="10"/>
  <c r="K60" i="10"/>
  <c r="H59" i="10"/>
  <c r="E33" i="10"/>
  <c r="E34" i="10" s="1"/>
  <c r="O34" i="10" s="1"/>
  <c r="E32" i="10"/>
  <c r="K35" i="10"/>
  <c r="K34" i="10"/>
  <c r="L33" i="10"/>
  <c r="H33" i="10"/>
  <c r="K32" i="10"/>
  <c r="O32" i="10"/>
  <c r="K31" i="10"/>
  <c r="K30" i="10"/>
  <c r="K29" i="10"/>
  <c r="H28" i="10"/>
  <c r="E18" i="10"/>
  <c r="M18" i="10" s="1"/>
  <c r="K18" i="10"/>
  <c r="E17" i="7"/>
  <c r="E35" i="8"/>
  <c r="K25" i="11"/>
  <c r="E38" i="4"/>
  <c r="N160" i="10" l="1"/>
  <c r="E162" i="10"/>
  <c r="O162" i="10" s="1"/>
  <c r="M33" i="10"/>
  <c r="E35" i="10"/>
  <c r="O35" i="10" s="1"/>
  <c r="O63" i="10"/>
  <c r="L164" i="10"/>
  <c r="N189" i="10"/>
  <c r="E215" i="10"/>
  <c r="O215" i="10" s="1"/>
  <c r="E97" i="10"/>
  <c r="O97" i="10" s="1"/>
  <c r="N33" i="10"/>
  <c r="E60" i="10"/>
  <c r="N60" i="10" s="1"/>
  <c r="E61" i="10"/>
  <c r="M61" i="10" s="1"/>
  <c r="N59" i="10"/>
  <c r="L59" i="10"/>
  <c r="N165" i="10"/>
  <c r="M64" i="10"/>
  <c r="M94" i="10"/>
  <c r="E166" i="10"/>
  <c r="O166" i="10" s="1"/>
  <c r="N188" i="10"/>
  <c r="L64" i="10"/>
  <c r="L188" i="10"/>
  <c r="L212" i="10"/>
  <c r="M165" i="10"/>
  <c r="L94" i="10"/>
  <c r="N212" i="10"/>
  <c r="N64" i="10"/>
  <c r="M95" i="10"/>
  <c r="N164" i="10"/>
  <c r="P164" i="10" s="1"/>
  <c r="E167" i="10"/>
  <c r="O167" i="10" s="1"/>
  <c r="O188" i="10"/>
  <c r="P188" i="10" s="1"/>
  <c r="M212" i="10"/>
  <c r="M59" i="10"/>
  <c r="E163" i="10"/>
  <c r="O163" i="10" s="1"/>
  <c r="E161" i="10"/>
  <c r="O161" i="10" s="1"/>
  <c r="E209" i="10"/>
  <c r="O209" i="10" s="1"/>
  <c r="E211" i="10"/>
  <c r="L211" i="10" s="1"/>
  <c r="E210" i="10"/>
  <c r="O210" i="10" s="1"/>
  <c r="L208" i="10"/>
  <c r="M208" i="10"/>
  <c r="O208" i="10"/>
  <c r="K212" i="10"/>
  <c r="O213" i="10"/>
  <c r="M211" i="10"/>
  <c r="L215" i="10"/>
  <c r="N208" i="10"/>
  <c r="N210" i="10"/>
  <c r="O211" i="10"/>
  <c r="N213" i="10"/>
  <c r="N214" i="10"/>
  <c r="P214" i="10" s="1"/>
  <c r="N215" i="10"/>
  <c r="L214" i="10"/>
  <c r="N211" i="10"/>
  <c r="M214" i="10"/>
  <c r="L184" i="10"/>
  <c r="E187" i="10"/>
  <c r="O187" i="10" s="1"/>
  <c r="E186" i="10"/>
  <c r="N186" i="10" s="1"/>
  <c r="E185" i="10"/>
  <c r="O185" i="10" s="1"/>
  <c r="N184" i="10"/>
  <c r="M184" i="10"/>
  <c r="O189" i="10"/>
  <c r="P189" i="10" s="1"/>
  <c r="L190" i="10"/>
  <c r="L191" i="10"/>
  <c r="O184" i="10"/>
  <c r="K188" i="10"/>
  <c r="M185" i="10"/>
  <c r="M191" i="10"/>
  <c r="O190" i="10"/>
  <c r="O191" i="10"/>
  <c r="M186" i="10"/>
  <c r="M190" i="10"/>
  <c r="N185" i="10"/>
  <c r="L160" i="10"/>
  <c r="M160" i="10"/>
  <c r="E91" i="10"/>
  <c r="M91" i="10" s="1"/>
  <c r="E92" i="10"/>
  <c r="O92" i="10" s="1"/>
  <c r="M90" i="10"/>
  <c r="L90" i="10"/>
  <c r="E62" i="10"/>
  <c r="M62" i="10" s="1"/>
  <c r="K164" i="10"/>
  <c r="O165" i="10"/>
  <c r="L163" i="10"/>
  <c r="L162" i="10"/>
  <c r="M163" i="10"/>
  <c r="L166" i="10"/>
  <c r="O160" i="10"/>
  <c r="M161" i="10"/>
  <c r="M162" i="10"/>
  <c r="M166" i="10"/>
  <c r="N161" i="10"/>
  <c r="N162" i="10"/>
  <c r="N167" i="10"/>
  <c r="E132" i="10"/>
  <c r="E133" i="10"/>
  <c r="E134" i="10"/>
  <c r="E137" i="10"/>
  <c r="E138" i="10"/>
  <c r="O131" i="10"/>
  <c r="O136" i="10"/>
  <c r="L135" i="10"/>
  <c r="L131" i="10"/>
  <c r="M135" i="10"/>
  <c r="L136" i="10"/>
  <c r="M131" i="10"/>
  <c r="N135" i="10"/>
  <c r="P135" i="10" s="1"/>
  <c r="M136" i="10"/>
  <c r="N131" i="10"/>
  <c r="N136" i="10"/>
  <c r="O90" i="10"/>
  <c r="P90" i="10" s="1"/>
  <c r="L93" i="10"/>
  <c r="L97" i="10"/>
  <c r="N94" i="10"/>
  <c r="P94" i="10" s="1"/>
  <c r="M97" i="10"/>
  <c r="N90" i="10"/>
  <c r="N91" i="10"/>
  <c r="N92" i="10"/>
  <c r="O93" i="10"/>
  <c r="N95" i="10"/>
  <c r="N96" i="10"/>
  <c r="N97" i="10"/>
  <c r="K95" i="10"/>
  <c r="L91" i="10"/>
  <c r="L92" i="10"/>
  <c r="M93" i="10"/>
  <c r="L96" i="10"/>
  <c r="M92" i="10"/>
  <c r="M96" i="10"/>
  <c r="O91" i="10"/>
  <c r="P63" i="10"/>
  <c r="O64" i="10"/>
  <c r="L66" i="10"/>
  <c r="N62" i="10"/>
  <c r="N65" i="10"/>
  <c r="N66" i="10"/>
  <c r="O65" i="10"/>
  <c r="O66" i="10"/>
  <c r="O59" i="10"/>
  <c r="K63" i="10"/>
  <c r="L60" i="10"/>
  <c r="L65" i="10"/>
  <c r="E29" i="10"/>
  <c r="E30" i="10"/>
  <c r="E31" i="10"/>
  <c r="O33" i="10"/>
  <c r="O28" i="10"/>
  <c r="L32" i="10"/>
  <c r="L34" i="10"/>
  <c r="L28" i="10"/>
  <c r="M32" i="10"/>
  <c r="M34" i="10"/>
  <c r="M28" i="10"/>
  <c r="N32" i="10"/>
  <c r="N34" i="10"/>
  <c r="P34" i="10" s="1"/>
  <c r="N28" i="10"/>
  <c r="L18" i="10"/>
  <c r="N18" i="10"/>
  <c r="O18" i="10"/>
  <c r="P212" i="10" l="1"/>
  <c r="K64" i="10"/>
  <c r="O61" i="10"/>
  <c r="N61" i="10"/>
  <c r="P96" i="10"/>
  <c r="P165" i="10"/>
  <c r="M209" i="10"/>
  <c r="N209" i="10"/>
  <c r="P209" i="10" s="1"/>
  <c r="N35" i="10"/>
  <c r="M35" i="10"/>
  <c r="L35" i="10"/>
  <c r="P33" i="10"/>
  <c r="O60" i="10"/>
  <c r="P60" i="10" s="1"/>
  <c r="P136" i="10"/>
  <c r="P185" i="10"/>
  <c r="L186" i="10"/>
  <c r="L209" i="10"/>
  <c r="L61" i="10"/>
  <c r="M60" i="10"/>
  <c r="P93" i="10"/>
  <c r="K90" i="10"/>
  <c r="N166" i="10"/>
  <c r="N163" i="10"/>
  <c r="P163" i="10" s="1"/>
  <c r="L167" i="10"/>
  <c r="L161" i="10"/>
  <c r="O186" i="10"/>
  <c r="P184" i="10"/>
  <c r="K189" i="10"/>
  <c r="K208" i="10"/>
  <c r="M215" i="10"/>
  <c r="K213" i="10"/>
  <c r="N187" i="10"/>
  <c r="K33" i="10"/>
  <c r="K59" i="10"/>
  <c r="M167" i="10"/>
  <c r="P191" i="10"/>
  <c r="P167" i="10"/>
  <c r="L62" i="10"/>
  <c r="O62" i="10"/>
  <c r="P62" i="10" s="1"/>
  <c r="P64" i="10"/>
  <c r="O95" i="10"/>
  <c r="P95" i="10" s="1"/>
  <c r="P208" i="10"/>
  <c r="L187" i="10"/>
  <c r="P59" i="10"/>
  <c r="P97" i="10"/>
  <c r="K131" i="10"/>
  <c r="M187" i="10"/>
  <c r="P215" i="10"/>
  <c r="M210" i="10"/>
  <c r="P210" i="10" s="1"/>
  <c r="L210" i="10"/>
  <c r="P211" i="10"/>
  <c r="P213" i="10"/>
  <c r="L185" i="10"/>
  <c r="K184" i="10"/>
  <c r="P190" i="10"/>
  <c r="P186" i="10"/>
  <c r="P160" i="10"/>
  <c r="P162" i="10"/>
  <c r="P161" i="10"/>
  <c r="P131" i="10"/>
  <c r="P92" i="10"/>
  <c r="P166" i="10"/>
  <c r="K160" i="10"/>
  <c r="K165" i="10"/>
  <c r="O134" i="10"/>
  <c r="N134" i="10"/>
  <c r="M134" i="10"/>
  <c r="L134" i="10"/>
  <c r="O133" i="10"/>
  <c r="N133" i="10"/>
  <c r="M133" i="10"/>
  <c r="L133" i="10"/>
  <c r="O132" i="10"/>
  <c r="N132" i="10"/>
  <c r="M132" i="10"/>
  <c r="L132" i="10"/>
  <c r="K136" i="10"/>
  <c r="O137" i="10"/>
  <c r="N137" i="10"/>
  <c r="M137" i="10"/>
  <c r="L137" i="10"/>
  <c r="O138" i="10"/>
  <c r="N138" i="10"/>
  <c r="M138" i="10"/>
  <c r="L138" i="10"/>
  <c r="P91" i="10"/>
  <c r="P32" i="10"/>
  <c r="P66" i="10"/>
  <c r="P65" i="10"/>
  <c r="P28" i="10"/>
  <c r="P35" i="10"/>
  <c r="O31" i="10"/>
  <c r="N31" i="10"/>
  <c r="M31" i="10"/>
  <c r="L31" i="10"/>
  <c r="O30" i="10"/>
  <c r="N30" i="10"/>
  <c r="M30" i="10"/>
  <c r="L30" i="10"/>
  <c r="O29" i="10"/>
  <c r="N29" i="10"/>
  <c r="M29" i="10"/>
  <c r="L29" i="10"/>
  <c r="K28" i="10"/>
  <c r="P18" i="10"/>
  <c r="O39" i="14"/>
  <c r="N39" i="14"/>
  <c r="M39" i="14"/>
  <c r="L39" i="14"/>
  <c r="K39" i="14"/>
  <c r="O38" i="14"/>
  <c r="N38" i="14"/>
  <c r="M38" i="14"/>
  <c r="L38" i="14"/>
  <c r="K38" i="14"/>
  <c r="O37" i="14"/>
  <c r="N37" i="14"/>
  <c r="M37" i="14"/>
  <c r="L37" i="14"/>
  <c r="K37" i="14"/>
  <c r="O36" i="14"/>
  <c r="N36" i="14"/>
  <c r="M36" i="14"/>
  <c r="L36" i="14"/>
  <c r="K36" i="14"/>
  <c r="O35" i="14"/>
  <c r="N35" i="14"/>
  <c r="M35" i="14"/>
  <c r="L35" i="14"/>
  <c r="K35" i="14"/>
  <c r="O34" i="14"/>
  <c r="N34" i="14"/>
  <c r="M34" i="14"/>
  <c r="L34" i="14"/>
  <c r="K34" i="14"/>
  <c r="O33" i="14"/>
  <c r="N33" i="14"/>
  <c r="M33" i="14"/>
  <c r="L33" i="14"/>
  <c r="O32" i="14"/>
  <c r="N32" i="14"/>
  <c r="M32" i="14"/>
  <c r="L32" i="14"/>
  <c r="O31" i="14"/>
  <c r="N31" i="14"/>
  <c r="M31" i="14"/>
  <c r="L31" i="14"/>
  <c r="K31" i="14"/>
  <c r="O30" i="14"/>
  <c r="N30" i="14"/>
  <c r="M30" i="14"/>
  <c r="L30" i="14"/>
  <c r="K30" i="14"/>
  <c r="O29" i="14"/>
  <c r="N29" i="14"/>
  <c r="M29" i="14"/>
  <c r="L29" i="14"/>
  <c r="K29" i="14"/>
  <c r="O28" i="14"/>
  <c r="N28" i="14"/>
  <c r="M28" i="14"/>
  <c r="L28" i="14"/>
  <c r="K28" i="14"/>
  <c r="N26" i="14"/>
  <c r="L26" i="14"/>
  <c r="H26" i="14"/>
  <c r="M26" i="14" s="1"/>
  <c r="N25" i="14"/>
  <c r="L25" i="14"/>
  <c r="H25" i="14"/>
  <c r="M25" i="14" s="1"/>
  <c r="N24" i="14"/>
  <c r="L24" i="14"/>
  <c r="H24" i="14"/>
  <c r="M24" i="14" s="1"/>
  <c r="N23" i="14"/>
  <c r="L23" i="14"/>
  <c r="H23" i="14"/>
  <c r="M23" i="14" s="1"/>
  <c r="N22" i="14"/>
  <c r="L22" i="14"/>
  <c r="H22" i="14"/>
  <c r="M22" i="14" s="1"/>
  <c r="N21" i="14"/>
  <c r="L21" i="14"/>
  <c r="H21" i="14"/>
  <c r="M21" i="14" s="1"/>
  <c r="N20" i="14"/>
  <c r="L20" i="14"/>
  <c r="H20" i="14"/>
  <c r="M20" i="14" s="1"/>
  <c r="N19" i="14"/>
  <c r="L19" i="14"/>
  <c r="H19" i="14"/>
  <c r="O19" i="14" s="1"/>
  <c r="N18" i="14"/>
  <c r="L18" i="14"/>
  <c r="H18" i="14"/>
  <c r="M18" i="14" s="1"/>
  <c r="N17" i="14"/>
  <c r="L17" i="14"/>
  <c r="H17" i="14"/>
  <c r="M17" i="14" s="1"/>
  <c r="N16" i="14"/>
  <c r="L16" i="14"/>
  <c r="H16" i="14"/>
  <c r="M16" i="14" s="1"/>
  <c r="N15" i="14"/>
  <c r="L15" i="14"/>
  <c r="H15" i="14"/>
  <c r="M15" i="14" s="1"/>
  <c r="C43" i="14"/>
  <c r="H57" i="13"/>
  <c r="L57" i="13"/>
  <c r="N57" i="13"/>
  <c r="H58" i="13"/>
  <c r="L58" i="13"/>
  <c r="N58" i="13"/>
  <c r="N100" i="13"/>
  <c r="L100" i="13"/>
  <c r="H100" i="13"/>
  <c r="M100" i="13" s="1"/>
  <c r="N99" i="13"/>
  <c r="L99" i="13"/>
  <c r="H99" i="13"/>
  <c r="M99" i="13" s="1"/>
  <c r="N98" i="13"/>
  <c r="L98" i="13"/>
  <c r="H98" i="13"/>
  <c r="M98" i="13" s="1"/>
  <c r="H97" i="13"/>
  <c r="E97" i="13"/>
  <c r="L97" i="13" s="1"/>
  <c r="H96" i="13"/>
  <c r="E96" i="13"/>
  <c r="N96" i="13" s="1"/>
  <c r="N95" i="13"/>
  <c r="L95" i="13"/>
  <c r="H95" i="13"/>
  <c r="M95" i="13" s="1"/>
  <c r="H94" i="13"/>
  <c r="H93" i="13"/>
  <c r="E93" i="13"/>
  <c r="E94" i="13" s="1"/>
  <c r="N92" i="13"/>
  <c r="L92" i="13"/>
  <c r="H92" i="13"/>
  <c r="M92" i="13" s="1"/>
  <c r="O91" i="13"/>
  <c r="N91" i="13"/>
  <c r="M91" i="13"/>
  <c r="L91" i="13"/>
  <c r="K91" i="13"/>
  <c r="O90" i="13"/>
  <c r="N90" i="13"/>
  <c r="M90" i="13"/>
  <c r="L90" i="13"/>
  <c r="K90" i="13"/>
  <c r="O89" i="13"/>
  <c r="N89" i="13"/>
  <c r="M89" i="13"/>
  <c r="L89" i="13"/>
  <c r="K89" i="13"/>
  <c r="O88" i="13"/>
  <c r="N88" i="13"/>
  <c r="M88" i="13"/>
  <c r="L88" i="13"/>
  <c r="K88" i="13"/>
  <c r="O87" i="13"/>
  <c r="N87" i="13"/>
  <c r="M87" i="13"/>
  <c r="L87" i="13"/>
  <c r="K87" i="13"/>
  <c r="O86" i="13"/>
  <c r="N86" i="13"/>
  <c r="M86" i="13"/>
  <c r="L86" i="13"/>
  <c r="K86" i="13"/>
  <c r="N85" i="13"/>
  <c r="L85" i="13"/>
  <c r="H85" i="13"/>
  <c r="M85" i="13" s="1"/>
  <c r="N84" i="13"/>
  <c r="L84" i="13"/>
  <c r="H84" i="13"/>
  <c r="M84" i="13" s="1"/>
  <c r="N83" i="13"/>
  <c r="L83" i="13"/>
  <c r="H83" i="13"/>
  <c r="M83" i="13" s="1"/>
  <c r="N82" i="13"/>
  <c r="L82" i="13"/>
  <c r="H82" i="13"/>
  <c r="M82" i="13" s="1"/>
  <c r="N81" i="13"/>
  <c r="L81" i="13"/>
  <c r="H81" i="13"/>
  <c r="M81" i="13" s="1"/>
  <c r="N80" i="13"/>
  <c r="L80" i="13"/>
  <c r="H80" i="13"/>
  <c r="M80" i="13" s="1"/>
  <c r="N79" i="13"/>
  <c r="L79" i="13"/>
  <c r="H79" i="13"/>
  <c r="M79" i="13" s="1"/>
  <c r="N78" i="13"/>
  <c r="L78" i="13"/>
  <c r="H78" i="13"/>
  <c r="M78" i="13" s="1"/>
  <c r="N77" i="13"/>
  <c r="L77" i="13"/>
  <c r="H77" i="13"/>
  <c r="M77" i="13" s="1"/>
  <c r="N76" i="13"/>
  <c r="L76" i="13"/>
  <c r="H76" i="13"/>
  <c r="M76" i="13" s="1"/>
  <c r="N75" i="13"/>
  <c r="L75" i="13"/>
  <c r="H75" i="13"/>
  <c r="M75" i="13" s="1"/>
  <c r="N74" i="13"/>
  <c r="L74" i="13"/>
  <c r="H74" i="13"/>
  <c r="M74" i="13" s="1"/>
  <c r="N73" i="13"/>
  <c r="L73" i="13"/>
  <c r="H73" i="13"/>
  <c r="M73" i="13" s="1"/>
  <c r="N72" i="13"/>
  <c r="L72" i="13"/>
  <c r="H72" i="13"/>
  <c r="M72" i="13" s="1"/>
  <c r="N71" i="13"/>
  <c r="L71" i="13"/>
  <c r="H71" i="13"/>
  <c r="M71" i="13" s="1"/>
  <c r="N70" i="13"/>
  <c r="L70" i="13"/>
  <c r="H70" i="13"/>
  <c r="M70" i="13" s="1"/>
  <c r="N69" i="13"/>
  <c r="L69" i="13"/>
  <c r="H69" i="13"/>
  <c r="M69" i="13" s="1"/>
  <c r="N68" i="13"/>
  <c r="L68" i="13"/>
  <c r="H68" i="13"/>
  <c r="M68" i="13" s="1"/>
  <c r="N67" i="13"/>
  <c r="L67" i="13"/>
  <c r="H67" i="13"/>
  <c r="M67" i="13" s="1"/>
  <c r="N66" i="13"/>
  <c r="L66" i="13"/>
  <c r="H66" i="13"/>
  <c r="M66" i="13" s="1"/>
  <c r="N65" i="13"/>
  <c r="L65" i="13"/>
  <c r="H65" i="13"/>
  <c r="M65" i="13" s="1"/>
  <c r="N64" i="13"/>
  <c r="L64" i="13"/>
  <c r="H64" i="13"/>
  <c r="M64" i="13" s="1"/>
  <c r="N63" i="13"/>
  <c r="L63" i="13"/>
  <c r="H63" i="13"/>
  <c r="M63" i="13" s="1"/>
  <c r="N62" i="13"/>
  <c r="L62" i="13"/>
  <c r="H62" i="13"/>
  <c r="M62" i="13" s="1"/>
  <c r="N61" i="13"/>
  <c r="L61" i="13"/>
  <c r="H61" i="13"/>
  <c r="M61" i="13" s="1"/>
  <c r="N60" i="13"/>
  <c r="L60" i="13"/>
  <c r="H60" i="13"/>
  <c r="M60" i="13" s="1"/>
  <c r="N59" i="13"/>
  <c r="L59" i="13"/>
  <c r="H59" i="13"/>
  <c r="M59" i="13" s="1"/>
  <c r="N56" i="13"/>
  <c r="L56" i="13"/>
  <c r="H56" i="13"/>
  <c r="M56" i="13" s="1"/>
  <c r="N55" i="13"/>
  <c r="L55" i="13"/>
  <c r="H55" i="13"/>
  <c r="M55" i="13" s="1"/>
  <c r="N54" i="13"/>
  <c r="L54" i="13"/>
  <c r="H54" i="13"/>
  <c r="M54" i="13" s="1"/>
  <c r="N53" i="13"/>
  <c r="L53" i="13"/>
  <c r="H53" i="13"/>
  <c r="M53" i="13" s="1"/>
  <c r="N52" i="13"/>
  <c r="L52" i="13"/>
  <c r="H52" i="13"/>
  <c r="M52" i="13" s="1"/>
  <c r="N51" i="13"/>
  <c r="L51" i="13"/>
  <c r="H51" i="13"/>
  <c r="M51" i="13" s="1"/>
  <c r="N50" i="13"/>
  <c r="L50" i="13"/>
  <c r="H50" i="13"/>
  <c r="M50" i="13" s="1"/>
  <c r="N49" i="13"/>
  <c r="L49" i="13"/>
  <c r="H49" i="13"/>
  <c r="M49" i="13" s="1"/>
  <c r="N48" i="13"/>
  <c r="L48" i="13"/>
  <c r="H48" i="13"/>
  <c r="M48" i="13" s="1"/>
  <c r="N47" i="13"/>
  <c r="L47" i="13"/>
  <c r="H47" i="13"/>
  <c r="M47" i="13" s="1"/>
  <c r="N46" i="13"/>
  <c r="L46" i="13"/>
  <c r="H46" i="13"/>
  <c r="M46" i="13" s="1"/>
  <c r="N45" i="13"/>
  <c r="L45" i="13"/>
  <c r="H45" i="13"/>
  <c r="M45" i="13" s="1"/>
  <c r="N44" i="13"/>
  <c r="L44" i="13"/>
  <c r="H44" i="13"/>
  <c r="M44" i="13" s="1"/>
  <c r="N43" i="13"/>
  <c r="L43" i="13"/>
  <c r="H43" i="13"/>
  <c r="M43" i="13" s="1"/>
  <c r="N42" i="13"/>
  <c r="L42" i="13"/>
  <c r="H42" i="13"/>
  <c r="M42" i="13" s="1"/>
  <c r="N41" i="13"/>
  <c r="L41" i="13"/>
  <c r="H41" i="13"/>
  <c r="M41" i="13" s="1"/>
  <c r="N40" i="13"/>
  <c r="L40" i="13"/>
  <c r="H40" i="13"/>
  <c r="M40" i="13" s="1"/>
  <c r="N39" i="13"/>
  <c r="L39" i="13"/>
  <c r="H39" i="13"/>
  <c r="M39" i="13" s="1"/>
  <c r="N38" i="13"/>
  <c r="L38" i="13"/>
  <c r="H38" i="13"/>
  <c r="M38" i="13" s="1"/>
  <c r="N37" i="13"/>
  <c r="L37" i="13"/>
  <c r="H37" i="13"/>
  <c r="M37" i="13" s="1"/>
  <c r="N36" i="13"/>
  <c r="L36" i="13"/>
  <c r="H36" i="13"/>
  <c r="M36" i="13" s="1"/>
  <c r="N35" i="13"/>
  <c r="L35" i="13"/>
  <c r="H35" i="13"/>
  <c r="M35" i="13" s="1"/>
  <c r="N34" i="13"/>
  <c r="L34" i="13"/>
  <c r="H34" i="13"/>
  <c r="M34" i="13" s="1"/>
  <c r="N33" i="13"/>
  <c r="L33" i="13"/>
  <c r="H33" i="13"/>
  <c r="M33" i="13" s="1"/>
  <c r="N32" i="13"/>
  <c r="L32" i="13"/>
  <c r="H32" i="13"/>
  <c r="M32" i="13" s="1"/>
  <c r="N31" i="13"/>
  <c r="L31" i="13"/>
  <c r="H31" i="13"/>
  <c r="M31" i="13" s="1"/>
  <c r="N30" i="13"/>
  <c r="L30" i="13"/>
  <c r="H30" i="13"/>
  <c r="M30" i="13" s="1"/>
  <c r="N29" i="13"/>
  <c r="L29" i="13"/>
  <c r="H29" i="13"/>
  <c r="M29" i="13" s="1"/>
  <c r="N28" i="13"/>
  <c r="L28" i="13"/>
  <c r="H28" i="13"/>
  <c r="M28" i="13" s="1"/>
  <c r="N27" i="13"/>
  <c r="L27" i="13"/>
  <c r="H27" i="13"/>
  <c r="M27" i="13" s="1"/>
  <c r="N26" i="13"/>
  <c r="L26" i="13"/>
  <c r="H26" i="13"/>
  <c r="M26" i="13" s="1"/>
  <c r="N25" i="13"/>
  <c r="L25" i="13"/>
  <c r="H25" i="13"/>
  <c r="M25" i="13" s="1"/>
  <c r="N24" i="13"/>
  <c r="L24" i="13"/>
  <c r="H24" i="13"/>
  <c r="M24" i="13" s="1"/>
  <c r="N23" i="13"/>
  <c r="L23" i="13"/>
  <c r="H23" i="13"/>
  <c r="M23" i="13" s="1"/>
  <c r="N22" i="13"/>
  <c r="L22" i="13"/>
  <c r="H22" i="13"/>
  <c r="M22" i="13" s="1"/>
  <c r="N21" i="13"/>
  <c r="L21" i="13"/>
  <c r="H21" i="13"/>
  <c r="M21" i="13" s="1"/>
  <c r="N20" i="13"/>
  <c r="L20" i="13"/>
  <c r="H20" i="13"/>
  <c r="M20" i="13" s="1"/>
  <c r="N19" i="13"/>
  <c r="L19" i="13"/>
  <c r="H19" i="13"/>
  <c r="M19" i="13" s="1"/>
  <c r="N18" i="13"/>
  <c r="L18" i="13"/>
  <c r="H18" i="13"/>
  <c r="M18" i="13" s="1"/>
  <c r="N17" i="13"/>
  <c r="L17" i="13"/>
  <c r="H17" i="13"/>
  <c r="M17" i="13" s="1"/>
  <c r="N16" i="13"/>
  <c r="L16" i="13"/>
  <c r="H16" i="13"/>
  <c r="M16" i="13" s="1"/>
  <c r="N15" i="13"/>
  <c r="L15" i="13"/>
  <c r="P35" i="14" l="1"/>
  <c r="P187" i="10"/>
  <c r="P61" i="10"/>
  <c r="P132" i="10"/>
  <c r="P134" i="10"/>
  <c r="P137" i="10"/>
  <c r="P133" i="10"/>
  <c r="P138" i="10"/>
  <c r="P30" i="10"/>
  <c r="P29" i="10"/>
  <c r="P31" i="10"/>
  <c r="P32" i="14"/>
  <c r="P31" i="14"/>
  <c r="P36" i="14"/>
  <c r="P29" i="14"/>
  <c r="P34" i="14"/>
  <c r="P38" i="14"/>
  <c r="P37" i="14"/>
  <c r="M19" i="14"/>
  <c r="P19" i="14" s="1"/>
  <c r="P30" i="14"/>
  <c r="P28" i="14"/>
  <c r="P33" i="14"/>
  <c r="L40" i="14"/>
  <c r="N40" i="14"/>
  <c r="P39" i="14"/>
  <c r="O20" i="14"/>
  <c r="P20" i="14" s="1"/>
  <c r="O21" i="14"/>
  <c r="P21" i="14" s="1"/>
  <c r="O22" i="14"/>
  <c r="P22" i="14" s="1"/>
  <c r="O23" i="14"/>
  <c r="P23" i="14" s="1"/>
  <c r="O24" i="14"/>
  <c r="P24" i="14" s="1"/>
  <c r="O25" i="14"/>
  <c r="P25" i="14" s="1"/>
  <c r="O26" i="14"/>
  <c r="P26" i="14" s="1"/>
  <c r="O15" i="14"/>
  <c r="O16" i="14"/>
  <c r="P16" i="14" s="1"/>
  <c r="O17" i="14"/>
  <c r="P17" i="14" s="1"/>
  <c r="O18" i="14"/>
  <c r="P18" i="14" s="1"/>
  <c r="M57" i="13"/>
  <c r="M58" i="13"/>
  <c r="K58" i="13"/>
  <c r="O58" i="13"/>
  <c r="K57" i="13"/>
  <c r="O57" i="13"/>
  <c r="P57" i="13" s="1"/>
  <c r="K50" i="13"/>
  <c r="K82" i="13"/>
  <c r="K80" i="13"/>
  <c r="O35" i="13"/>
  <c r="P35" i="13" s="1"/>
  <c r="O96" i="13"/>
  <c r="N93" i="13"/>
  <c r="O67" i="13"/>
  <c r="P67" i="13" s="1"/>
  <c r="M93" i="13"/>
  <c r="L93" i="13"/>
  <c r="O43" i="13"/>
  <c r="P43" i="13" s="1"/>
  <c r="P88" i="13"/>
  <c r="O18" i="13"/>
  <c r="P18" i="13" s="1"/>
  <c r="P91" i="13"/>
  <c r="O26" i="13"/>
  <c r="P26" i="13" s="1"/>
  <c r="O31" i="13"/>
  <c r="P31" i="13" s="1"/>
  <c r="O27" i="13"/>
  <c r="P27" i="13" s="1"/>
  <c r="M97" i="13"/>
  <c r="O70" i="13"/>
  <c r="P70" i="13" s="1"/>
  <c r="O76" i="13"/>
  <c r="P76" i="13" s="1"/>
  <c r="O97" i="13"/>
  <c r="K66" i="13"/>
  <c r="K30" i="13"/>
  <c r="O47" i="13"/>
  <c r="P47" i="13" s="1"/>
  <c r="K62" i="13"/>
  <c r="O78" i="13"/>
  <c r="P78" i="13" s="1"/>
  <c r="P86" i="13"/>
  <c r="K96" i="13"/>
  <c r="N97" i="13"/>
  <c r="O63" i="13"/>
  <c r="P63" i="13" s="1"/>
  <c r="K77" i="13"/>
  <c r="O59" i="13"/>
  <c r="P59" i="13" s="1"/>
  <c r="O38" i="13"/>
  <c r="P38" i="13" s="1"/>
  <c r="P87" i="13"/>
  <c r="O99" i="13"/>
  <c r="P99" i="13" s="1"/>
  <c r="K34" i="13"/>
  <c r="O51" i="13"/>
  <c r="P51" i="13" s="1"/>
  <c r="P89" i="13"/>
  <c r="L96" i="13"/>
  <c r="O46" i="13"/>
  <c r="P46" i="13" s="1"/>
  <c r="O84" i="13"/>
  <c r="P84" i="13" s="1"/>
  <c r="O42" i="13"/>
  <c r="P42" i="13" s="1"/>
  <c r="K74" i="13"/>
  <c r="P90" i="13"/>
  <c r="O23" i="13"/>
  <c r="P23" i="13" s="1"/>
  <c r="O55" i="13"/>
  <c r="P55" i="13" s="1"/>
  <c r="H15" i="13"/>
  <c r="O19" i="13"/>
  <c r="P19" i="13" s="1"/>
  <c r="K81" i="13"/>
  <c r="K22" i="13"/>
  <c r="O39" i="13"/>
  <c r="P39" i="13" s="1"/>
  <c r="O54" i="13"/>
  <c r="P54" i="13" s="1"/>
  <c r="O71" i="13"/>
  <c r="P71" i="13" s="1"/>
  <c r="K85" i="13"/>
  <c r="M96" i="13"/>
  <c r="O98" i="13"/>
  <c r="P98" i="13" s="1"/>
  <c r="K18" i="13"/>
  <c r="O21" i="13"/>
  <c r="P21" i="13" s="1"/>
  <c r="O37" i="13"/>
  <c r="P37" i="13" s="1"/>
  <c r="O49" i="13"/>
  <c r="P49" i="13" s="1"/>
  <c r="O61" i="13"/>
  <c r="P61" i="13" s="1"/>
  <c r="O65" i="13"/>
  <c r="P65" i="13" s="1"/>
  <c r="O95" i="13"/>
  <c r="P95" i="13" s="1"/>
  <c r="O17" i="13"/>
  <c r="P17" i="13" s="1"/>
  <c r="O29" i="13"/>
  <c r="P29" i="13" s="1"/>
  <c r="O45" i="13"/>
  <c r="P45" i="13" s="1"/>
  <c r="O53" i="13"/>
  <c r="P53" i="13" s="1"/>
  <c r="O69" i="13"/>
  <c r="P69" i="13" s="1"/>
  <c r="L94" i="13"/>
  <c r="O16" i="13"/>
  <c r="P16" i="13" s="1"/>
  <c r="O20" i="13"/>
  <c r="P20" i="13" s="1"/>
  <c r="O24" i="13"/>
  <c r="P24" i="13" s="1"/>
  <c r="O28" i="13"/>
  <c r="P28" i="13" s="1"/>
  <c r="O32" i="13"/>
  <c r="P32" i="13" s="1"/>
  <c r="O36" i="13"/>
  <c r="P36" i="13" s="1"/>
  <c r="O40" i="13"/>
  <c r="P40" i="13" s="1"/>
  <c r="O44" i="13"/>
  <c r="P44" i="13" s="1"/>
  <c r="O48" i="13"/>
  <c r="P48" i="13" s="1"/>
  <c r="O52" i="13"/>
  <c r="P52" i="13" s="1"/>
  <c r="O56" i="13"/>
  <c r="P56" i="13" s="1"/>
  <c r="O60" i="13"/>
  <c r="P60" i="13" s="1"/>
  <c r="O64" i="13"/>
  <c r="P64" i="13" s="1"/>
  <c r="O68" i="13"/>
  <c r="P68" i="13" s="1"/>
  <c r="O72" i="13"/>
  <c r="P72" i="13" s="1"/>
  <c r="O93" i="13"/>
  <c r="M94" i="13"/>
  <c r="O25" i="13"/>
  <c r="P25" i="13" s="1"/>
  <c r="O33" i="13"/>
  <c r="P33" i="13" s="1"/>
  <c r="O41" i="13"/>
  <c r="P41" i="13" s="1"/>
  <c r="O73" i="13"/>
  <c r="P73" i="13" s="1"/>
  <c r="K94" i="13"/>
  <c r="N94" i="13"/>
  <c r="P97" i="13" l="1"/>
  <c r="P58" i="13"/>
  <c r="K24" i="14"/>
  <c r="K21" i="14"/>
  <c r="K23" i="14"/>
  <c r="K17" i="14"/>
  <c r="K20" i="14"/>
  <c r="P15" i="14"/>
  <c r="P40" i="14" s="1"/>
  <c r="O40" i="14"/>
  <c r="K22" i="14"/>
  <c r="K25" i="14"/>
  <c r="K15" i="14"/>
  <c r="K18" i="14"/>
  <c r="K26" i="14"/>
  <c r="K16" i="14"/>
  <c r="M40" i="14"/>
  <c r="P96" i="13"/>
  <c r="K99" i="13"/>
  <c r="K47" i="13"/>
  <c r="K27" i="13"/>
  <c r="K20" i="13"/>
  <c r="K67" i="13"/>
  <c r="O62" i="13"/>
  <c r="P62" i="13" s="1"/>
  <c r="O34" i="13"/>
  <c r="P34" i="13" s="1"/>
  <c r="K59" i="13"/>
  <c r="K32" i="13"/>
  <c r="O82" i="13"/>
  <c r="P82" i="13" s="1"/>
  <c r="K97" i="13"/>
  <c r="K54" i="13"/>
  <c r="K31" i="13"/>
  <c r="K56" i="13"/>
  <c r="K38" i="13"/>
  <c r="O74" i="13"/>
  <c r="P74" i="13" s="1"/>
  <c r="K39" i="13"/>
  <c r="O50" i="13"/>
  <c r="P50" i="13" s="1"/>
  <c r="K84" i="13"/>
  <c r="K23" i="13"/>
  <c r="P93" i="13"/>
  <c r="K29" i="13"/>
  <c r="O80" i="13"/>
  <c r="P80" i="13" s="1"/>
  <c r="K25" i="13"/>
  <c r="K42" i="13"/>
  <c r="K35" i="13"/>
  <c r="K26" i="13"/>
  <c r="K19" i="13"/>
  <c r="K28" i="13"/>
  <c r="O66" i="13"/>
  <c r="P66" i="13" s="1"/>
  <c r="K21" i="13"/>
  <c r="K43" i="13"/>
  <c r="O85" i="13"/>
  <c r="P85" i="13" s="1"/>
  <c r="K75" i="13"/>
  <c r="O75" i="13"/>
  <c r="P75" i="13" s="1"/>
  <c r="K72" i="13"/>
  <c r="K64" i="13"/>
  <c r="O30" i="13"/>
  <c r="P30" i="13" s="1"/>
  <c r="K61" i="13"/>
  <c r="K55" i="13"/>
  <c r="K46" i="13"/>
  <c r="K68" i="13"/>
  <c r="K24" i="13"/>
  <c r="K51" i="13"/>
  <c r="K92" i="13"/>
  <c r="O92" i="13"/>
  <c r="P92" i="13" s="1"/>
  <c r="K95" i="13"/>
  <c r="K83" i="13"/>
  <c r="O83" i="13"/>
  <c r="P83" i="13" s="1"/>
  <c r="K73" i="13"/>
  <c r="K71" i="13"/>
  <c r="K79" i="13"/>
  <c r="O79" i="13"/>
  <c r="P79" i="13" s="1"/>
  <c r="K48" i="13"/>
  <c r="O22" i="13"/>
  <c r="P22" i="13" s="1"/>
  <c r="O81" i="13"/>
  <c r="P81" i="13" s="1"/>
  <c r="K78" i="13"/>
  <c r="K16" i="13"/>
  <c r="O100" i="13"/>
  <c r="P100" i="13" s="1"/>
  <c r="K100" i="13"/>
  <c r="K52" i="13"/>
  <c r="O94" i="13"/>
  <c r="P94" i="13" s="1"/>
  <c r="K76" i="13"/>
  <c r="K36" i="13"/>
  <c r="K98" i="13"/>
  <c r="K41" i="13"/>
  <c r="K63" i="13"/>
  <c r="O77" i="13"/>
  <c r="P77" i="13" s="1"/>
  <c r="K70" i="13"/>
  <c r="M15" i="13"/>
  <c r="K69" i="13"/>
  <c r="K37" i="13"/>
  <c r="K60" i="13"/>
  <c r="K65" i="13"/>
  <c r="K33" i="13"/>
  <c r="K44" i="13"/>
  <c r="K49" i="13"/>
  <c r="K17" i="13"/>
  <c r="K53" i="13"/>
  <c r="K40" i="13"/>
  <c r="K93" i="13"/>
  <c r="K45" i="13"/>
  <c r="O15" i="13" l="1"/>
  <c r="P15" i="13" s="1"/>
  <c r="K15" i="13"/>
  <c r="O17" i="12"/>
  <c r="N17" i="12"/>
  <c r="L17" i="12"/>
  <c r="O16" i="12"/>
  <c r="N16" i="12"/>
  <c r="H16" i="12"/>
  <c r="O15" i="12"/>
  <c r="N15" i="12"/>
  <c r="L15" i="12"/>
  <c r="K28" i="11"/>
  <c r="H27" i="11"/>
  <c r="K27" i="11" s="1"/>
  <c r="L27" i="11"/>
  <c r="N24" i="11"/>
  <c r="L24" i="11"/>
  <c r="H24" i="11"/>
  <c r="M24" i="11" s="1"/>
  <c r="N23" i="11"/>
  <c r="L23" i="11"/>
  <c r="H23" i="11"/>
  <c r="M23" i="11" s="1"/>
  <c r="N22" i="11"/>
  <c r="L22" i="11"/>
  <c r="H22" i="11"/>
  <c r="M22" i="11" s="1"/>
  <c r="K21" i="11"/>
  <c r="K20" i="11"/>
  <c r="E20" i="11"/>
  <c r="O20" i="11" s="1"/>
  <c r="E19" i="11"/>
  <c r="N19" i="11" s="1"/>
  <c r="K18" i="11"/>
  <c r="E18" i="11"/>
  <c r="N18" i="11" s="1"/>
  <c r="K17" i="11"/>
  <c r="E17" i="11"/>
  <c r="K16" i="11"/>
  <c r="E16" i="11"/>
  <c r="L16" i="11" s="1"/>
  <c r="N15" i="11"/>
  <c r="L15" i="11"/>
  <c r="H15" i="11"/>
  <c r="M15" i="11" s="1"/>
  <c r="E78" i="15"/>
  <c r="K84" i="15"/>
  <c r="K83" i="15"/>
  <c r="H82" i="15"/>
  <c r="N82" i="15"/>
  <c r="K81" i="15"/>
  <c r="E81" i="15"/>
  <c r="L81" i="15" s="1"/>
  <c r="K80" i="15"/>
  <c r="E80" i="15"/>
  <c r="O80" i="15" s="1"/>
  <c r="N79" i="15"/>
  <c r="L79" i="15"/>
  <c r="H79" i="15"/>
  <c r="N78" i="15"/>
  <c r="L78" i="15"/>
  <c r="H78" i="15"/>
  <c r="M78" i="15" s="1"/>
  <c r="E57" i="15"/>
  <c r="L57" i="15" s="1"/>
  <c r="C23" i="2"/>
  <c r="C24" i="2"/>
  <c r="N87" i="15"/>
  <c r="L87" i="15"/>
  <c r="H87" i="15"/>
  <c r="N86" i="15"/>
  <c r="L86" i="15"/>
  <c r="H86" i="15"/>
  <c r="O77" i="15"/>
  <c r="N77" i="15"/>
  <c r="M77" i="15"/>
  <c r="L77" i="15"/>
  <c r="K77" i="15"/>
  <c r="K76" i="15"/>
  <c r="K75" i="15"/>
  <c r="H74" i="15"/>
  <c r="E74" i="15"/>
  <c r="L74" i="15" s="1"/>
  <c r="O73" i="15"/>
  <c r="N73" i="15"/>
  <c r="M73" i="15"/>
  <c r="L73" i="15"/>
  <c r="K73" i="15"/>
  <c r="K72" i="15"/>
  <c r="E72" i="15"/>
  <c r="O72" i="15" s="1"/>
  <c r="K71" i="15"/>
  <c r="E71" i="15"/>
  <c r="M71" i="15" s="1"/>
  <c r="N70" i="15"/>
  <c r="L70" i="15"/>
  <c r="H70" i="15"/>
  <c r="M70" i="15" s="1"/>
  <c r="K68" i="15"/>
  <c r="K67" i="15"/>
  <c r="K66" i="15"/>
  <c r="K65" i="15"/>
  <c r="K64" i="15"/>
  <c r="H63" i="15"/>
  <c r="K63" i="15" s="1"/>
  <c r="E63" i="15"/>
  <c r="E68" i="15" s="1"/>
  <c r="K62" i="15"/>
  <c r="K61" i="15"/>
  <c r="K60" i="15"/>
  <c r="K59" i="15"/>
  <c r="K58" i="15"/>
  <c r="H57" i="15"/>
  <c r="K55" i="15"/>
  <c r="K54" i="15"/>
  <c r="K53" i="15"/>
  <c r="K52" i="15"/>
  <c r="H51" i="15"/>
  <c r="K50" i="15"/>
  <c r="E50" i="15"/>
  <c r="O50" i="15" s="1"/>
  <c r="K49" i="15"/>
  <c r="K48" i="15"/>
  <c r="E48" i="15"/>
  <c r="E49" i="15" s="1"/>
  <c r="O49" i="15" s="1"/>
  <c r="K47" i="15"/>
  <c r="H46" i="15"/>
  <c r="E46" i="15"/>
  <c r="E47" i="15" s="1"/>
  <c r="K45" i="15"/>
  <c r="E45" i="15"/>
  <c r="O45" i="15" s="1"/>
  <c r="K44" i="15"/>
  <c r="E44" i="15"/>
  <c r="N43" i="15"/>
  <c r="L43" i="15"/>
  <c r="H43" i="15"/>
  <c r="K41" i="15"/>
  <c r="K40" i="15"/>
  <c r="K39" i="15"/>
  <c r="K38" i="15"/>
  <c r="H37" i="15"/>
  <c r="K37" i="15" s="1"/>
  <c r="K36" i="15"/>
  <c r="E36" i="15"/>
  <c r="N36" i="15" s="1"/>
  <c r="K35" i="15"/>
  <c r="H34" i="15"/>
  <c r="E34" i="15"/>
  <c r="L34" i="15" s="1"/>
  <c r="K33" i="15"/>
  <c r="E33" i="15"/>
  <c r="O33" i="15" s="1"/>
  <c r="K32" i="15"/>
  <c r="E32" i="15"/>
  <c r="L32" i="15" s="1"/>
  <c r="N31" i="15"/>
  <c r="L31" i="15"/>
  <c r="H31" i="15"/>
  <c r="M31" i="15" s="1"/>
  <c r="N29" i="15"/>
  <c r="L29" i="15"/>
  <c r="H29" i="15"/>
  <c r="M29" i="15" s="1"/>
  <c r="N28" i="15"/>
  <c r="G23" i="2" s="1"/>
  <c r="L28" i="15"/>
  <c r="I23" i="2" s="1"/>
  <c r="H28" i="15"/>
  <c r="M28" i="15" s="1"/>
  <c r="F23" i="2" s="1"/>
  <c r="N27" i="15"/>
  <c r="L27" i="15"/>
  <c r="H27" i="15"/>
  <c r="M27" i="15" s="1"/>
  <c r="N26" i="15"/>
  <c r="L26" i="15"/>
  <c r="H26" i="15"/>
  <c r="M26" i="15" s="1"/>
  <c r="N25" i="15"/>
  <c r="L25" i="15"/>
  <c r="H25" i="15"/>
  <c r="M25" i="15" s="1"/>
  <c r="N24" i="15"/>
  <c r="L24" i="15"/>
  <c r="H24" i="15"/>
  <c r="M24" i="15" s="1"/>
  <c r="N23" i="15"/>
  <c r="L23" i="15"/>
  <c r="H23" i="15"/>
  <c r="M23" i="15" s="1"/>
  <c r="N22" i="15"/>
  <c r="L22" i="15"/>
  <c r="H22" i="15"/>
  <c r="M22" i="15" s="1"/>
  <c r="K20" i="15"/>
  <c r="H19" i="15"/>
  <c r="E19" i="15"/>
  <c r="K18" i="15"/>
  <c r="K17" i="15"/>
  <c r="H16" i="15"/>
  <c r="K16" i="15" s="1"/>
  <c r="E16" i="15"/>
  <c r="E17" i="15" s="1"/>
  <c r="L17" i="15" s="1"/>
  <c r="N15" i="15"/>
  <c r="L15" i="15"/>
  <c r="H15" i="15"/>
  <c r="M15" i="15" s="1"/>
  <c r="C99" i="15"/>
  <c r="C96" i="15"/>
  <c r="C91" i="15"/>
  <c r="O240" i="10"/>
  <c r="N240" i="10"/>
  <c r="M240" i="10"/>
  <c r="L240" i="10"/>
  <c r="K240" i="10"/>
  <c r="K228" i="10"/>
  <c r="K227" i="10"/>
  <c r="H226" i="10"/>
  <c r="K226" i="10" s="1"/>
  <c r="E224" i="10"/>
  <c r="O224" i="10" s="1"/>
  <c r="K224" i="10"/>
  <c r="C22" i="2"/>
  <c r="K146" i="10"/>
  <c r="K145" i="10"/>
  <c r="H144" i="10"/>
  <c r="K144" i="10" s="1"/>
  <c r="E144" i="10"/>
  <c r="N144" i="10" s="1"/>
  <c r="H147" i="10"/>
  <c r="O147" i="10" s="1"/>
  <c r="L147" i="10"/>
  <c r="N147" i="10"/>
  <c r="K115" i="10"/>
  <c r="K114" i="10"/>
  <c r="H113" i="10"/>
  <c r="K105" i="10"/>
  <c r="K104" i="10"/>
  <c r="H103" i="10"/>
  <c r="E103" i="10"/>
  <c r="N103" i="10" s="1"/>
  <c r="K74" i="10"/>
  <c r="K73" i="10"/>
  <c r="H72" i="10"/>
  <c r="E72" i="10"/>
  <c r="N72" i="10" s="1"/>
  <c r="E41" i="10"/>
  <c r="N41" i="10" s="1"/>
  <c r="K43" i="10"/>
  <c r="K42" i="10"/>
  <c r="H41" i="10"/>
  <c r="H40" i="10"/>
  <c r="L40" i="10"/>
  <c r="N40" i="10"/>
  <c r="N319" i="10"/>
  <c r="L319" i="10"/>
  <c r="H319" i="10"/>
  <c r="M319" i="10" s="1"/>
  <c r="N318" i="10"/>
  <c r="L318" i="10"/>
  <c r="H318" i="10"/>
  <c r="M318" i="10" s="1"/>
  <c r="K316" i="10"/>
  <c r="K315" i="10"/>
  <c r="K314" i="10"/>
  <c r="K313" i="10"/>
  <c r="E313" i="10"/>
  <c r="M313" i="10" s="1"/>
  <c r="K312" i="10"/>
  <c r="E312" i="10"/>
  <c r="M312" i="10" s="1"/>
  <c r="K311" i="10"/>
  <c r="K310" i="10"/>
  <c r="K309" i="10"/>
  <c r="H308" i="10"/>
  <c r="E308" i="10"/>
  <c r="E309" i="10" s="1"/>
  <c r="K307" i="10"/>
  <c r="K306" i="10"/>
  <c r="H305" i="10"/>
  <c r="E305" i="10"/>
  <c r="E307" i="10" s="1"/>
  <c r="N304" i="10"/>
  <c r="L304" i="10"/>
  <c r="H304" i="10"/>
  <c r="M304" i="10" s="1"/>
  <c r="K302" i="10"/>
  <c r="K301" i="10"/>
  <c r="K300" i="10"/>
  <c r="K299" i="10"/>
  <c r="K297" i="10"/>
  <c r="H296" i="10"/>
  <c r="E296" i="10"/>
  <c r="E301" i="10" s="1"/>
  <c r="O301" i="10" s="1"/>
  <c r="K295" i="10"/>
  <c r="K294" i="10"/>
  <c r="H293" i="10"/>
  <c r="K293" i="10" s="1"/>
  <c r="E293" i="10"/>
  <c r="E295" i="10" s="1"/>
  <c r="N295" i="10" s="1"/>
  <c r="N292" i="10"/>
  <c r="L292" i="10"/>
  <c r="H292" i="10"/>
  <c r="M292" i="10" s="1"/>
  <c r="K290" i="10"/>
  <c r="H288" i="10"/>
  <c r="K288" i="10" s="1"/>
  <c r="K287" i="10"/>
  <c r="E287" i="10"/>
  <c r="K286" i="10"/>
  <c r="K285" i="10"/>
  <c r="H283" i="10"/>
  <c r="K282" i="10"/>
  <c r="E282" i="10"/>
  <c r="K281" i="10"/>
  <c r="E281" i="10"/>
  <c r="K280" i="10"/>
  <c r="K279" i="10"/>
  <c r="E279" i="10"/>
  <c r="L279" i="10" s="1"/>
  <c r="K278" i="10"/>
  <c r="K277" i="10"/>
  <c r="H276" i="10"/>
  <c r="E276" i="10"/>
  <c r="E278" i="10" s="1"/>
  <c r="K275" i="10"/>
  <c r="E275" i="10"/>
  <c r="N275" i="10" s="1"/>
  <c r="K274" i="10"/>
  <c r="E274" i="10"/>
  <c r="L274" i="10" s="1"/>
  <c r="N273" i="10"/>
  <c r="L273" i="10"/>
  <c r="H273" i="10"/>
  <c r="K271" i="10"/>
  <c r="H269" i="10"/>
  <c r="K268" i="10"/>
  <c r="E268" i="10"/>
  <c r="M268" i="10" s="1"/>
  <c r="K267" i="10"/>
  <c r="K266" i="10"/>
  <c r="K270" i="10"/>
  <c r="H264" i="10"/>
  <c r="K264" i="10" s="1"/>
  <c r="K263" i="10"/>
  <c r="E263" i="10"/>
  <c r="N263" i="10" s="1"/>
  <c r="K262" i="10"/>
  <c r="K261" i="10"/>
  <c r="E261" i="10"/>
  <c r="E262" i="10" s="1"/>
  <c r="L262" i="10" s="1"/>
  <c r="K260" i="10"/>
  <c r="K259" i="10"/>
  <c r="H258" i="10"/>
  <c r="E258" i="10"/>
  <c r="E259" i="10" s="1"/>
  <c r="K257" i="10"/>
  <c r="E257" i="10"/>
  <c r="M257" i="10" s="1"/>
  <c r="K256" i="10"/>
  <c r="E256" i="10"/>
  <c r="M256" i="10" s="1"/>
  <c r="N255" i="10"/>
  <c r="L255" i="10"/>
  <c r="H255" i="10"/>
  <c r="K253" i="10"/>
  <c r="H251" i="10"/>
  <c r="K250" i="10"/>
  <c r="E250" i="10"/>
  <c r="E249" i="10"/>
  <c r="E248" i="10"/>
  <c r="N247" i="10"/>
  <c r="L247" i="10"/>
  <c r="H247" i="10"/>
  <c r="K246" i="10"/>
  <c r="E246" i="10"/>
  <c r="K245" i="10"/>
  <c r="E245" i="10"/>
  <c r="M245" i="10" s="1"/>
  <c r="K244" i="10"/>
  <c r="K243" i="10"/>
  <c r="H241" i="10"/>
  <c r="K239" i="10"/>
  <c r="E239" i="10"/>
  <c r="K238" i="10"/>
  <c r="K237" i="10"/>
  <c r="E237" i="10"/>
  <c r="E238" i="10" s="1"/>
  <c r="K236" i="10"/>
  <c r="K235" i="10"/>
  <c r="H234" i="10"/>
  <c r="K234" i="10" s="1"/>
  <c r="E234" i="10"/>
  <c r="E236" i="10" s="1"/>
  <c r="K233" i="10"/>
  <c r="E233" i="10"/>
  <c r="M233" i="10" s="1"/>
  <c r="K232" i="10"/>
  <c r="E232" i="10"/>
  <c r="N231" i="10"/>
  <c r="L231" i="10"/>
  <c r="H231" i="10"/>
  <c r="M231" i="10" s="1"/>
  <c r="N229" i="10"/>
  <c r="L229" i="10"/>
  <c r="H229" i="10"/>
  <c r="M229" i="10" s="1"/>
  <c r="H225" i="10"/>
  <c r="E225" i="10"/>
  <c r="K223" i="10"/>
  <c r="E223" i="10"/>
  <c r="M223" i="10" s="1"/>
  <c r="K222" i="10"/>
  <c r="E222" i="10"/>
  <c r="N221" i="10"/>
  <c r="L221" i="10"/>
  <c r="H221" i="10"/>
  <c r="N219" i="10"/>
  <c r="L219" i="10"/>
  <c r="H219" i="10"/>
  <c r="N218" i="10"/>
  <c r="L218" i="10"/>
  <c r="H218" i="10"/>
  <c r="O217" i="10"/>
  <c r="N217" i="10"/>
  <c r="L217" i="10"/>
  <c r="H217" i="10"/>
  <c r="M217" i="10" s="1"/>
  <c r="N207" i="10"/>
  <c r="L207" i="10"/>
  <c r="H207" i="10"/>
  <c r="K207" i="10" s="1"/>
  <c r="N206" i="10"/>
  <c r="L206" i="10"/>
  <c r="H206" i="10"/>
  <c r="O205" i="10"/>
  <c r="N205" i="10"/>
  <c r="L205" i="10"/>
  <c r="H205" i="10"/>
  <c r="K205" i="10" s="1"/>
  <c r="N204" i="10"/>
  <c r="L204" i="10"/>
  <c r="H204" i="10"/>
  <c r="N203" i="10"/>
  <c r="L203" i="10"/>
  <c r="H203" i="10"/>
  <c r="M203" i="10" s="1"/>
  <c r="O202" i="10"/>
  <c r="N202" i="10"/>
  <c r="L202" i="10"/>
  <c r="H202" i="10"/>
  <c r="M202" i="10" s="1"/>
  <c r="N201" i="10"/>
  <c r="L201" i="10"/>
  <c r="H201" i="10"/>
  <c r="O200" i="10"/>
  <c r="N200" i="10"/>
  <c r="L200" i="10"/>
  <c r="H200" i="10"/>
  <c r="M200" i="10" s="1"/>
  <c r="N198" i="10"/>
  <c r="L198" i="10"/>
  <c r="H198" i="10"/>
  <c r="M198" i="10" s="1"/>
  <c r="N197" i="10"/>
  <c r="L197" i="10"/>
  <c r="H197" i="10"/>
  <c r="M197" i="10" s="1"/>
  <c r="N195" i="10"/>
  <c r="L195" i="10"/>
  <c r="H195" i="10"/>
  <c r="M195" i="10" s="1"/>
  <c r="N194" i="10"/>
  <c r="L194" i="10"/>
  <c r="H194" i="10"/>
  <c r="M194" i="10" s="1"/>
  <c r="O193" i="10"/>
  <c r="N193" i="10"/>
  <c r="L193" i="10"/>
  <c r="H193" i="10"/>
  <c r="N183" i="10"/>
  <c r="L183" i="10"/>
  <c r="H183" i="10"/>
  <c r="O183" i="10" s="1"/>
  <c r="N182" i="10"/>
  <c r="L182" i="10"/>
  <c r="H182" i="10"/>
  <c r="M182" i="10" s="1"/>
  <c r="O181" i="10"/>
  <c r="N181" i="10"/>
  <c r="L181" i="10"/>
  <c r="H181" i="10"/>
  <c r="K181" i="10" s="1"/>
  <c r="N180" i="10"/>
  <c r="L180" i="10"/>
  <c r="H180" i="10"/>
  <c r="M180" i="10" s="1"/>
  <c r="N179" i="10"/>
  <c r="L179" i="10"/>
  <c r="H179" i="10"/>
  <c r="M179" i="10" s="1"/>
  <c r="O178" i="10"/>
  <c r="N178" i="10"/>
  <c r="L178" i="10"/>
  <c r="H178" i="10"/>
  <c r="K178" i="10" s="1"/>
  <c r="N177" i="10"/>
  <c r="L177" i="10"/>
  <c r="H177" i="10"/>
  <c r="O176" i="10"/>
  <c r="N176" i="10"/>
  <c r="L176" i="10"/>
  <c r="H176" i="10"/>
  <c r="M176" i="10" s="1"/>
  <c r="N174" i="10"/>
  <c r="L174" i="10"/>
  <c r="H174" i="10"/>
  <c r="M174" i="10" s="1"/>
  <c r="N173" i="10"/>
  <c r="L173" i="10"/>
  <c r="H173" i="10"/>
  <c r="M173" i="10" s="1"/>
  <c r="N171" i="10"/>
  <c r="L171" i="10"/>
  <c r="H171" i="10"/>
  <c r="M171" i="10" s="1"/>
  <c r="N170" i="10"/>
  <c r="L170" i="10"/>
  <c r="H170" i="10"/>
  <c r="O169" i="10"/>
  <c r="N169" i="10"/>
  <c r="L169" i="10"/>
  <c r="H169" i="10"/>
  <c r="M169" i="10" s="1"/>
  <c r="N159" i="10"/>
  <c r="L159" i="10"/>
  <c r="H159" i="10"/>
  <c r="M159" i="10" s="1"/>
  <c r="N158" i="10"/>
  <c r="L158" i="10"/>
  <c r="H158" i="10"/>
  <c r="M158" i="10" s="1"/>
  <c r="O157" i="10"/>
  <c r="N157" i="10"/>
  <c r="L157" i="10"/>
  <c r="H157" i="10"/>
  <c r="N156" i="10"/>
  <c r="L156" i="10"/>
  <c r="H156" i="10"/>
  <c r="O156" i="10" s="1"/>
  <c r="N155" i="10"/>
  <c r="L155" i="10"/>
  <c r="H155" i="10"/>
  <c r="O155" i="10" s="1"/>
  <c r="O154" i="10"/>
  <c r="N154" i="10"/>
  <c r="L154" i="10"/>
  <c r="H154" i="10"/>
  <c r="M154" i="10" s="1"/>
  <c r="N153" i="10"/>
  <c r="L153" i="10"/>
  <c r="H153" i="10"/>
  <c r="O153" i="10" s="1"/>
  <c r="O152" i="10"/>
  <c r="N152" i="10"/>
  <c r="L152" i="10"/>
  <c r="H152" i="10"/>
  <c r="K152" i="10" s="1"/>
  <c r="N150" i="10"/>
  <c r="L150" i="10"/>
  <c r="H150" i="10"/>
  <c r="O150" i="10" s="1"/>
  <c r="N149" i="10"/>
  <c r="L149" i="10"/>
  <c r="H149" i="10"/>
  <c r="O149" i="10" s="1"/>
  <c r="N143" i="10"/>
  <c r="L143" i="10"/>
  <c r="H143" i="10"/>
  <c r="K143" i="10" s="1"/>
  <c r="N142" i="10"/>
  <c r="L142" i="10"/>
  <c r="H142" i="10"/>
  <c r="M142" i="10" s="1"/>
  <c r="N141" i="10"/>
  <c r="L141" i="10"/>
  <c r="H141" i="10"/>
  <c r="M141" i="10" s="1"/>
  <c r="O140" i="10"/>
  <c r="N140" i="10"/>
  <c r="L140" i="10"/>
  <c r="H140" i="10"/>
  <c r="M140" i="10" s="1"/>
  <c r="N130" i="10"/>
  <c r="L130" i="10"/>
  <c r="H130" i="10"/>
  <c r="M130" i="10" s="1"/>
  <c r="N129" i="10"/>
  <c r="L129" i="10"/>
  <c r="H129" i="10"/>
  <c r="M129" i="10" s="1"/>
  <c r="O128" i="10"/>
  <c r="N128" i="10"/>
  <c r="L128" i="10"/>
  <c r="H128" i="10"/>
  <c r="K128" i="10" s="1"/>
  <c r="N127" i="10"/>
  <c r="L127" i="10"/>
  <c r="H127" i="10"/>
  <c r="O127" i="10" s="1"/>
  <c r="N126" i="10"/>
  <c r="L126" i="10"/>
  <c r="H126" i="10"/>
  <c r="M126" i="10" s="1"/>
  <c r="O125" i="10"/>
  <c r="N125" i="10"/>
  <c r="L125" i="10"/>
  <c r="H125" i="10"/>
  <c r="M125" i="10" s="1"/>
  <c r="N124" i="10"/>
  <c r="L124" i="10"/>
  <c r="H124" i="10"/>
  <c r="O124" i="10" s="1"/>
  <c r="O123" i="10"/>
  <c r="N123" i="10"/>
  <c r="L123" i="10"/>
  <c r="H123" i="10"/>
  <c r="K123" i="10" s="1"/>
  <c r="K121" i="10"/>
  <c r="E121" i="10"/>
  <c r="N121" i="10" s="1"/>
  <c r="K120" i="10"/>
  <c r="E120" i="10"/>
  <c r="M120" i="10" s="1"/>
  <c r="N119" i="10"/>
  <c r="L119" i="10"/>
  <c r="H119" i="10"/>
  <c r="M119" i="10" s="1"/>
  <c r="N118" i="10"/>
  <c r="L118" i="10"/>
  <c r="H118" i="10"/>
  <c r="M118" i="10" s="1"/>
  <c r="N116" i="10"/>
  <c r="L116" i="10"/>
  <c r="H116" i="10"/>
  <c r="M116" i="10" s="1"/>
  <c r="H112" i="10"/>
  <c r="E112" i="10"/>
  <c r="L112" i="10" s="1"/>
  <c r="K111" i="10"/>
  <c r="E111" i="10"/>
  <c r="M111" i="10" s="1"/>
  <c r="K110" i="10"/>
  <c r="E110" i="10"/>
  <c r="N110" i="10" s="1"/>
  <c r="N109" i="10"/>
  <c r="L109" i="10"/>
  <c r="H109" i="10"/>
  <c r="M109" i="10" s="1"/>
  <c r="O108" i="10"/>
  <c r="N108" i="10"/>
  <c r="L108" i="10"/>
  <c r="H108" i="10"/>
  <c r="K108" i="10" s="1"/>
  <c r="N106" i="10"/>
  <c r="L106" i="10"/>
  <c r="H106" i="10"/>
  <c r="N102" i="10"/>
  <c r="L102" i="10"/>
  <c r="H102" i="10"/>
  <c r="N101" i="10"/>
  <c r="L101" i="10"/>
  <c r="H101" i="10"/>
  <c r="M101" i="10" s="1"/>
  <c r="N100" i="10"/>
  <c r="L100" i="10"/>
  <c r="H100" i="10"/>
  <c r="O100" i="10" s="1"/>
  <c r="O99" i="10"/>
  <c r="N99" i="10"/>
  <c r="L99" i="10"/>
  <c r="H99" i="10"/>
  <c r="M99" i="10" s="1"/>
  <c r="N89" i="10"/>
  <c r="L89" i="10"/>
  <c r="H89" i="10"/>
  <c r="O89" i="10" s="1"/>
  <c r="N88" i="10"/>
  <c r="L88" i="10"/>
  <c r="H88" i="10"/>
  <c r="O88" i="10" s="1"/>
  <c r="O87" i="10"/>
  <c r="N87" i="10"/>
  <c r="L87" i="10"/>
  <c r="H87" i="10"/>
  <c r="K87" i="10" s="1"/>
  <c r="N86" i="10"/>
  <c r="L86" i="10"/>
  <c r="H86" i="10"/>
  <c r="O86" i="10" s="1"/>
  <c r="N85" i="10"/>
  <c r="L85" i="10"/>
  <c r="H85" i="10"/>
  <c r="O84" i="10"/>
  <c r="N84" i="10"/>
  <c r="L84" i="10"/>
  <c r="H84" i="10"/>
  <c r="M84" i="10" s="1"/>
  <c r="N83" i="10"/>
  <c r="L83" i="10"/>
  <c r="H83" i="10"/>
  <c r="M83" i="10" s="1"/>
  <c r="O82" i="10"/>
  <c r="N82" i="10"/>
  <c r="L82" i="10"/>
  <c r="H82" i="10"/>
  <c r="K82" i="10" s="1"/>
  <c r="K80" i="10"/>
  <c r="E80" i="10"/>
  <c r="N80" i="10" s="1"/>
  <c r="K79" i="10"/>
  <c r="E79" i="10"/>
  <c r="O79" i="10" s="1"/>
  <c r="N78" i="10"/>
  <c r="L78" i="10"/>
  <c r="H78" i="10"/>
  <c r="N77" i="10"/>
  <c r="L77" i="10"/>
  <c r="H77" i="10"/>
  <c r="M77" i="10" s="1"/>
  <c r="N75" i="10"/>
  <c r="L75" i="10"/>
  <c r="H75" i="10"/>
  <c r="M75" i="10" s="1"/>
  <c r="N71" i="10"/>
  <c r="L71" i="10"/>
  <c r="H71" i="10"/>
  <c r="M71" i="10" s="1"/>
  <c r="N70" i="10"/>
  <c r="L70" i="10"/>
  <c r="H70" i="10"/>
  <c r="O70" i="10" s="1"/>
  <c r="N69" i="10"/>
  <c r="L69" i="10"/>
  <c r="H69" i="10"/>
  <c r="O68" i="10"/>
  <c r="N68" i="10"/>
  <c r="L68" i="10"/>
  <c r="H68" i="10"/>
  <c r="K68" i="10" s="1"/>
  <c r="N58" i="10"/>
  <c r="L58" i="10"/>
  <c r="H58" i="10"/>
  <c r="O58" i="10" s="1"/>
  <c r="N57" i="10"/>
  <c r="L57" i="10"/>
  <c r="H57" i="10"/>
  <c r="K57" i="10" s="1"/>
  <c r="O56" i="10"/>
  <c r="N56" i="10"/>
  <c r="L56" i="10"/>
  <c r="H56" i="10"/>
  <c r="K56" i="10" s="1"/>
  <c r="N55" i="10"/>
  <c r="L55" i="10"/>
  <c r="H55" i="10"/>
  <c r="M55" i="10" s="1"/>
  <c r="N54" i="10"/>
  <c r="L54" i="10"/>
  <c r="H54" i="10"/>
  <c r="O54" i="10" s="1"/>
  <c r="O53" i="10"/>
  <c r="N53" i="10"/>
  <c r="L53" i="10"/>
  <c r="H53" i="10"/>
  <c r="K53" i="10" s="1"/>
  <c r="N52" i="10"/>
  <c r="L52" i="10"/>
  <c r="H52" i="10"/>
  <c r="O52" i="10" s="1"/>
  <c r="O51" i="10"/>
  <c r="N51" i="10"/>
  <c r="L51" i="10"/>
  <c r="H51" i="10"/>
  <c r="M51" i="10" s="1"/>
  <c r="K49" i="10"/>
  <c r="E49" i="10"/>
  <c r="L49" i="10" s="1"/>
  <c r="K48" i="10"/>
  <c r="E48" i="10"/>
  <c r="O48" i="10" s="1"/>
  <c r="N47" i="10"/>
  <c r="L47" i="10"/>
  <c r="H47" i="10"/>
  <c r="O47" i="10" s="1"/>
  <c r="N46" i="10"/>
  <c r="L46" i="10"/>
  <c r="H46" i="10"/>
  <c r="O46" i="10" s="1"/>
  <c r="N44" i="10"/>
  <c r="L44" i="10"/>
  <c r="H44" i="10"/>
  <c r="O44" i="10" s="1"/>
  <c r="N39" i="10"/>
  <c r="L39" i="10"/>
  <c r="H39" i="10"/>
  <c r="O39" i="10" s="1"/>
  <c r="N38" i="10"/>
  <c r="L38" i="10"/>
  <c r="H38" i="10"/>
  <c r="M38" i="10" s="1"/>
  <c r="O37" i="10"/>
  <c r="N37" i="10"/>
  <c r="L37" i="10"/>
  <c r="H37" i="10"/>
  <c r="M37" i="10" s="1"/>
  <c r="N27" i="10"/>
  <c r="L27" i="10"/>
  <c r="H27" i="10"/>
  <c r="M27" i="10" s="1"/>
  <c r="N26" i="10"/>
  <c r="L26" i="10"/>
  <c r="H26" i="10"/>
  <c r="M26" i="10" s="1"/>
  <c r="O25" i="10"/>
  <c r="N25" i="10"/>
  <c r="L25" i="10"/>
  <c r="H25" i="10"/>
  <c r="M25" i="10" s="1"/>
  <c r="N24" i="10"/>
  <c r="L24" i="10"/>
  <c r="H24" i="10"/>
  <c r="O24" i="10" s="1"/>
  <c r="N23" i="10"/>
  <c r="L23" i="10"/>
  <c r="H23" i="10"/>
  <c r="M23" i="10" s="1"/>
  <c r="O22" i="10"/>
  <c r="N22" i="10"/>
  <c r="L22" i="10"/>
  <c r="H22" i="10"/>
  <c r="K22" i="10" s="1"/>
  <c r="N21" i="10"/>
  <c r="L21" i="10"/>
  <c r="H21" i="10"/>
  <c r="M21" i="10" s="1"/>
  <c r="O20" i="10"/>
  <c r="N20" i="10"/>
  <c r="L20" i="10"/>
  <c r="H20" i="10"/>
  <c r="K20" i="10" s="1"/>
  <c r="K17" i="10"/>
  <c r="E17" i="10"/>
  <c r="M17" i="10" s="1"/>
  <c r="N16" i="10"/>
  <c r="L16" i="10"/>
  <c r="H16" i="10"/>
  <c r="M16" i="10" s="1"/>
  <c r="N15" i="10"/>
  <c r="L15" i="10"/>
  <c r="H15" i="10"/>
  <c r="M15" i="10" s="1"/>
  <c r="E141" i="9"/>
  <c r="E108" i="9"/>
  <c r="O108" i="9" s="1"/>
  <c r="E60" i="9"/>
  <c r="K166" i="9"/>
  <c r="E166" i="9"/>
  <c r="K165" i="9"/>
  <c r="E165" i="9"/>
  <c r="L165" i="9" s="1"/>
  <c r="K164" i="9"/>
  <c r="E164" i="9"/>
  <c r="K163" i="9"/>
  <c r="E163" i="9"/>
  <c r="L163" i="9" s="1"/>
  <c r="K162" i="9"/>
  <c r="E162" i="9"/>
  <c r="K161" i="9"/>
  <c r="E161" i="9"/>
  <c r="N160" i="9"/>
  <c r="L160" i="9"/>
  <c r="H160" i="9"/>
  <c r="M160" i="9" s="1"/>
  <c r="K159" i="9"/>
  <c r="H158" i="9"/>
  <c r="E158" i="9"/>
  <c r="E159" i="9" s="1"/>
  <c r="K157" i="9"/>
  <c r="H156" i="9"/>
  <c r="K156" i="9" s="1"/>
  <c r="E156" i="9"/>
  <c r="L156" i="9" s="1"/>
  <c r="M155" i="9"/>
  <c r="E155" i="9"/>
  <c r="N154" i="9"/>
  <c r="L154" i="9"/>
  <c r="H154" i="9"/>
  <c r="M154" i="9" s="1"/>
  <c r="K152" i="9"/>
  <c r="E152" i="9"/>
  <c r="O152" i="9" s="1"/>
  <c r="K151" i="9"/>
  <c r="E151" i="9"/>
  <c r="K150" i="9"/>
  <c r="E150" i="9"/>
  <c r="L150" i="9" s="1"/>
  <c r="N149" i="9"/>
  <c r="L149" i="9"/>
  <c r="H149" i="9"/>
  <c r="M149" i="9" s="1"/>
  <c r="K147" i="9"/>
  <c r="H146" i="9"/>
  <c r="E146" i="9"/>
  <c r="E147" i="9" s="1"/>
  <c r="M147" i="9" s="1"/>
  <c r="K145" i="9"/>
  <c r="H144" i="9"/>
  <c r="E144" i="9"/>
  <c r="N144" i="9" s="1"/>
  <c r="K143" i="9"/>
  <c r="H142" i="9"/>
  <c r="E142" i="9"/>
  <c r="N140" i="9"/>
  <c r="L140" i="9"/>
  <c r="H140" i="9"/>
  <c r="K137" i="9"/>
  <c r="E137" i="9"/>
  <c r="O137" i="9" s="1"/>
  <c r="K136" i="9"/>
  <c r="E136" i="9"/>
  <c r="K135" i="9"/>
  <c r="E135" i="9"/>
  <c r="K134" i="9"/>
  <c r="E134" i="9"/>
  <c r="L134" i="9" s="1"/>
  <c r="K133" i="9"/>
  <c r="E133" i="9"/>
  <c r="M133" i="9" s="1"/>
  <c r="K132" i="9"/>
  <c r="E132" i="9"/>
  <c r="M132" i="9" s="1"/>
  <c r="K131" i="9"/>
  <c r="E131" i="9"/>
  <c r="O131" i="9" s="1"/>
  <c r="N130" i="9"/>
  <c r="L130" i="9"/>
  <c r="H130" i="9"/>
  <c r="O130" i="9" s="1"/>
  <c r="N129" i="9"/>
  <c r="L129" i="9"/>
  <c r="H129" i="9"/>
  <c r="O129" i="9" s="1"/>
  <c r="K128" i="9"/>
  <c r="E128" i="9"/>
  <c r="O128" i="9" s="1"/>
  <c r="K127" i="9"/>
  <c r="E127" i="9"/>
  <c r="O127" i="9" s="1"/>
  <c r="K126" i="9"/>
  <c r="E126" i="9"/>
  <c r="N125" i="9"/>
  <c r="L125" i="9"/>
  <c r="H125" i="9"/>
  <c r="M125" i="9" s="1"/>
  <c r="N124" i="9"/>
  <c r="L124" i="9"/>
  <c r="H124" i="9"/>
  <c r="O124" i="9" s="1"/>
  <c r="N123" i="9"/>
  <c r="L123" i="9"/>
  <c r="H123" i="9"/>
  <c r="M123" i="9" s="1"/>
  <c r="N122" i="9"/>
  <c r="L122" i="9"/>
  <c r="H122" i="9"/>
  <c r="O122" i="9" s="1"/>
  <c r="K120" i="9"/>
  <c r="E120" i="9"/>
  <c r="L120" i="9" s="1"/>
  <c r="K119" i="9"/>
  <c r="E119" i="9"/>
  <c r="K118" i="9"/>
  <c r="E118" i="9"/>
  <c r="O118" i="9" s="1"/>
  <c r="N117" i="9"/>
  <c r="L117" i="9"/>
  <c r="H117" i="9"/>
  <c r="M117" i="9" s="1"/>
  <c r="N116" i="9"/>
  <c r="L116" i="9"/>
  <c r="H116" i="9"/>
  <c r="M116" i="9" s="1"/>
  <c r="N115" i="9"/>
  <c r="L115" i="9"/>
  <c r="H115" i="9"/>
  <c r="M115" i="9" s="1"/>
  <c r="K114" i="9"/>
  <c r="E114" i="9"/>
  <c r="K113" i="9"/>
  <c r="E113" i="9"/>
  <c r="N113" i="9" s="1"/>
  <c r="K112" i="9"/>
  <c r="E112" i="9"/>
  <c r="M112" i="9" s="1"/>
  <c r="N111" i="9"/>
  <c r="L111" i="9"/>
  <c r="H111" i="9"/>
  <c r="N110" i="9"/>
  <c r="L110" i="9"/>
  <c r="H110" i="9"/>
  <c r="K109" i="9"/>
  <c r="E109" i="9"/>
  <c r="L109" i="9" s="1"/>
  <c r="K108" i="9"/>
  <c r="N107" i="9"/>
  <c r="L107" i="9"/>
  <c r="H107" i="9"/>
  <c r="M107" i="9" s="1"/>
  <c r="N105" i="9"/>
  <c r="L105" i="9"/>
  <c r="H105" i="9"/>
  <c r="O105" i="9" s="1"/>
  <c r="N104" i="9"/>
  <c r="L104" i="9"/>
  <c r="H104" i="9"/>
  <c r="M104" i="9" s="1"/>
  <c r="N103" i="9"/>
  <c r="L103" i="9"/>
  <c r="H103" i="9"/>
  <c r="M103" i="9" s="1"/>
  <c r="K102" i="9"/>
  <c r="E102" i="9"/>
  <c r="M102" i="9" s="1"/>
  <c r="N101" i="9"/>
  <c r="K101" i="9"/>
  <c r="E101" i="9"/>
  <c r="M101" i="9" s="1"/>
  <c r="K100" i="9"/>
  <c r="E100" i="9"/>
  <c r="N99" i="9"/>
  <c r="L99" i="9"/>
  <c r="H99" i="9"/>
  <c r="M99" i="9" s="1"/>
  <c r="K98" i="9"/>
  <c r="E98" i="9"/>
  <c r="L98" i="9" s="1"/>
  <c r="K97" i="9"/>
  <c r="E97" i="9"/>
  <c r="N97" i="9" s="1"/>
  <c r="K96" i="9"/>
  <c r="E96" i="9"/>
  <c r="L96" i="9" s="1"/>
  <c r="N95" i="9"/>
  <c r="L95" i="9"/>
  <c r="H95" i="9"/>
  <c r="M95" i="9" s="1"/>
  <c r="N94" i="9"/>
  <c r="L94" i="9"/>
  <c r="H94" i="9"/>
  <c r="M94" i="9" s="1"/>
  <c r="N93" i="9"/>
  <c r="L93" i="9"/>
  <c r="H93" i="9"/>
  <c r="O93" i="9" s="1"/>
  <c r="N91" i="9"/>
  <c r="L91" i="9"/>
  <c r="H91" i="9"/>
  <c r="O91" i="9" s="1"/>
  <c r="O90" i="9"/>
  <c r="M90" i="9"/>
  <c r="L90" i="9"/>
  <c r="N90" i="9"/>
  <c r="O89" i="9"/>
  <c r="N89" i="9"/>
  <c r="M89" i="9"/>
  <c r="L89" i="9"/>
  <c r="K89" i="9"/>
  <c r="O88" i="9"/>
  <c r="N88" i="9"/>
  <c r="M88" i="9"/>
  <c r="L88" i="9"/>
  <c r="K88" i="9"/>
  <c r="K87" i="9"/>
  <c r="E87" i="9"/>
  <c r="O87" i="9" s="1"/>
  <c r="N86" i="9"/>
  <c r="L86" i="9"/>
  <c r="H86" i="9"/>
  <c r="M86" i="9" s="1"/>
  <c r="O85" i="9"/>
  <c r="M85" i="9"/>
  <c r="L85" i="9"/>
  <c r="K84" i="9"/>
  <c r="E84" i="9"/>
  <c r="N84" i="9" s="1"/>
  <c r="K83" i="9"/>
  <c r="E83" i="9"/>
  <c r="N82" i="9"/>
  <c r="L82" i="9"/>
  <c r="H82" i="9"/>
  <c r="O82" i="9" s="1"/>
  <c r="O81" i="9"/>
  <c r="M81" i="9"/>
  <c r="L81" i="9"/>
  <c r="K81" i="9"/>
  <c r="K80" i="9"/>
  <c r="E80" i="9"/>
  <c r="L80" i="9" s="1"/>
  <c r="K79" i="9"/>
  <c r="E79" i="9"/>
  <c r="O79" i="9" s="1"/>
  <c r="N78" i="9"/>
  <c r="L78" i="9"/>
  <c r="H78" i="9"/>
  <c r="K77" i="9"/>
  <c r="E77" i="9"/>
  <c r="M77" i="9" s="1"/>
  <c r="K76" i="9"/>
  <c r="E76" i="9"/>
  <c r="O76" i="9" s="1"/>
  <c r="K75" i="9"/>
  <c r="E75" i="9"/>
  <c r="L75" i="9" s="1"/>
  <c r="N74" i="9"/>
  <c r="L74" i="9"/>
  <c r="H74" i="9"/>
  <c r="M74" i="9" s="1"/>
  <c r="O72" i="9"/>
  <c r="M72" i="9"/>
  <c r="L72" i="9"/>
  <c r="K71" i="9"/>
  <c r="K70" i="9"/>
  <c r="H69" i="9"/>
  <c r="E69" i="9"/>
  <c r="E68" i="9"/>
  <c r="M68" i="9" s="1"/>
  <c r="H67" i="9"/>
  <c r="K67" i="9" s="1"/>
  <c r="E67" i="9"/>
  <c r="K68" i="9" s="1"/>
  <c r="N66" i="9"/>
  <c r="L66" i="9"/>
  <c r="H66" i="9"/>
  <c r="M66" i="9" s="1"/>
  <c r="N65" i="9"/>
  <c r="L65" i="9"/>
  <c r="H65" i="9"/>
  <c r="M65" i="9" s="1"/>
  <c r="O64" i="9"/>
  <c r="N64" i="9"/>
  <c r="M64" i="9"/>
  <c r="L64" i="9"/>
  <c r="K64" i="9"/>
  <c r="K63" i="9"/>
  <c r="E63" i="9"/>
  <c r="M63" i="9" s="1"/>
  <c r="K62" i="9"/>
  <c r="E62" i="9"/>
  <c r="L62" i="9" s="1"/>
  <c r="O61" i="9"/>
  <c r="N61" i="9"/>
  <c r="M61" i="9"/>
  <c r="L61" i="9"/>
  <c r="K61" i="9"/>
  <c r="K60" i="9"/>
  <c r="N59" i="9"/>
  <c r="L59" i="9"/>
  <c r="H59" i="9"/>
  <c r="M59" i="9" s="1"/>
  <c r="O57" i="9"/>
  <c r="M57" i="9"/>
  <c r="L57" i="9"/>
  <c r="N57" i="9"/>
  <c r="O56" i="9"/>
  <c r="N56" i="9"/>
  <c r="M56" i="9"/>
  <c r="L56" i="9"/>
  <c r="K56" i="9"/>
  <c r="O55" i="9"/>
  <c r="N55" i="9"/>
  <c r="M55" i="9"/>
  <c r="L55" i="9"/>
  <c r="K55" i="9"/>
  <c r="K54" i="9"/>
  <c r="E54" i="9"/>
  <c r="O54" i="9" s="1"/>
  <c r="K53" i="9"/>
  <c r="E53" i="9"/>
  <c r="O53" i="9" s="1"/>
  <c r="N52" i="9"/>
  <c r="L52" i="9"/>
  <c r="H52" i="9"/>
  <c r="O52" i="9" s="1"/>
  <c r="O51" i="9"/>
  <c r="M51" i="9"/>
  <c r="L51" i="9"/>
  <c r="N51" i="9"/>
  <c r="K50" i="9"/>
  <c r="E50" i="9"/>
  <c r="K49" i="9"/>
  <c r="E49" i="9"/>
  <c r="L49" i="9" s="1"/>
  <c r="N48" i="9"/>
  <c r="L48" i="9"/>
  <c r="H48" i="9"/>
  <c r="O48" i="9" s="1"/>
  <c r="O47" i="9"/>
  <c r="M47" i="9"/>
  <c r="L47" i="9"/>
  <c r="N47" i="9"/>
  <c r="K46" i="9"/>
  <c r="E46" i="9"/>
  <c r="K45" i="9"/>
  <c r="E45" i="9"/>
  <c r="L45" i="9" s="1"/>
  <c r="N44" i="9"/>
  <c r="L44" i="9"/>
  <c r="H44" i="9"/>
  <c r="K43" i="9"/>
  <c r="E43" i="9"/>
  <c r="N43" i="9" s="1"/>
  <c r="K42" i="9"/>
  <c r="E42" i="9"/>
  <c r="O42" i="9" s="1"/>
  <c r="K41" i="9"/>
  <c r="E41" i="9"/>
  <c r="O41" i="9" s="1"/>
  <c r="N40" i="9"/>
  <c r="L40" i="9"/>
  <c r="H40" i="9"/>
  <c r="L38" i="9"/>
  <c r="N38" i="9"/>
  <c r="H38" i="9"/>
  <c r="N37" i="9"/>
  <c r="L37" i="9"/>
  <c r="H37" i="9"/>
  <c r="O37" i="9" s="1"/>
  <c r="N36" i="9"/>
  <c r="L36" i="9"/>
  <c r="H36" i="9"/>
  <c r="O36" i="9" s="1"/>
  <c r="N35" i="9"/>
  <c r="L35" i="9"/>
  <c r="H35" i="9"/>
  <c r="O35" i="9" s="1"/>
  <c r="N34" i="9"/>
  <c r="L34" i="9"/>
  <c r="H34" i="9"/>
  <c r="K33" i="9"/>
  <c r="E33" i="9"/>
  <c r="O33" i="9" s="1"/>
  <c r="N32" i="9"/>
  <c r="K32" i="9"/>
  <c r="E32" i="9"/>
  <c r="O32" i="9" s="1"/>
  <c r="K31" i="9"/>
  <c r="E31" i="9"/>
  <c r="L31" i="9" s="1"/>
  <c r="N30" i="9"/>
  <c r="L30" i="9"/>
  <c r="H30" i="9"/>
  <c r="M30" i="9" s="1"/>
  <c r="K29" i="9"/>
  <c r="E29" i="9"/>
  <c r="N29" i="9" s="1"/>
  <c r="K28" i="9"/>
  <c r="E28" i="9"/>
  <c r="L28" i="9" s="1"/>
  <c r="K27" i="9"/>
  <c r="E27" i="9"/>
  <c r="N26" i="9"/>
  <c r="L26" i="9"/>
  <c r="H26" i="9"/>
  <c r="M26" i="9" s="1"/>
  <c r="H25" i="9"/>
  <c r="E25" i="9"/>
  <c r="N24" i="9"/>
  <c r="L24" i="9"/>
  <c r="H24" i="9"/>
  <c r="H23" i="9"/>
  <c r="E23" i="9"/>
  <c r="N22" i="9"/>
  <c r="L22" i="9"/>
  <c r="H22" i="9"/>
  <c r="N21" i="9"/>
  <c r="L21" i="9"/>
  <c r="H21" i="9"/>
  <c r="O21" i="9" s="1"/>
  <c r="K19" i="9"/>
  <c r="O18" i="9"/>
  <c r="N18" i="9"/>
  <c r="L18" i="9"/>
  <c r="H18" i="9"/>
  <c r="O17" i="9"/>
  <c r="N17" i="9"/>
  <c r="L17" i="9"/>
  <c r="H17" i="9"/>
  <c r="K17" i="9" s="1"/>
  <c r="O16" i="9"/>
  <c r="N16" i="9"/>
  <c r="L16" i="9"/>
  <c r="H16" i="9"/>
  <c r="K16" i="9" s="1"/>
  <c r="L15" i="9"/>
  <c r="H15" i="9"/>
  <c r="O15" i="9" s="1"/>
  <c r="E19" i="9"/>
  <c r="O101" i="9" l="1"/>
  <c r="O62" i="9"/>
  <c r="L87" i="9"/>
  <c r="M32" i="9"/>
  <c r="M52" i="9"/>
  <c r="P55" i="9"/>
  <c r="M87" i="9"/>
  <c r="N100" i="9"/>
  <c r="L101" i="9"/>
  <c r="M80" i="9"/>
  <c r="O123" i="9"/>
  <c r="P123" i="9" s="1"/>
  <c r="M108" i="9"/>
  <c r="N28" i="9"/>
  <c r="M43" i="9"/>
  <c r="M48" i="9"/>
  <c r="P48" i="9" s="1"/>
  <c r="M120" i="9"/>
  <c r="N134" i="9"/>
  <c r="N137" i="9"/>
  <c r="M144" i="9"/>
  <c r="N77" i="9"/>
  <c r="L152" i="9"/>
  <c r="O80" i="9"/>
  <c r="M152" i="9"/>
  <c r="M40" i="9"/>
  <c r="L43" i="9"/>
  <c r="N128" i="9"/>
  <c r="M134" i="9"/>
  <c r="O43" i="9"/>
  <c r="K59" i="9"/>
  <c r="P64" i="9"/>
  <c r="L108" i="9"/>
  <c r="O134" i="9"/>
  <c r="L128" i="9"/>
  <c r="P89" i="9"/>
  <c r="M128" i="9"/>
  <c r="M105" i="9"/>
  <c r="L132" i="9"/>
  <c r="M17" i="11"/>
  <c r="E25" i="11"/>
  <c r="N17" i="11"/>
  <c r="P17" i="11" s="1"/>
  <c r="L17" i="11"/>
  <c r="O17" i="11"/>
  <c r="H17" i="12"/>
  <c r="M17" i="12" s="1"/>
  <c r="L16" i="12"/>
  <c r="K16" i="12"/>
  <c r="M16" i="12"/>
  <c r="P16" i="12" s="1"/>
  <c r="P17" i="12"/>
  <c r="H15" i="12"/>
  <c r="O19" i="11"/>
  <c r="M18" i="11"/>
  <c r="O27" i="11"/>
  <c r="O18" i="11"/>
  <c r="N16" i="11"/>
  <c r="M16" i="11"/>
  <c r="O15" i="11"/>
  <c r="P15" i="11" s="1"/>
  <c r="O16" i="11"/>
  <c r="L18" i="11"/>
  <c r="E21" i="11"/>
  <c r="E28" i="11"/>
  <c r="L20" i="11"/>
  <c r="L19" i="11"/>
  <c r="M20" i="11"/>
  <c r="M27" i="11"/>
  <c r="M19" i="11"/>
  <c r="N20" i="11"/>
  <c r="N27" i="11"/>
  <c r="L82" i="15"/>
  <c r="E84" i="15"/>
  <c r="E83" i="15"/>
  <c r="M82" i="15"/>
  <c r="O82" i="15"/>
  <c r="M81" i="15"/>
  <c r="M80" i="15"/>
  <c r="N81" i="15"/>
  <c r="O79" i="15"/>
  <c r="L80" i="15"/>
  <c r="M79" i="15"/>
  <c r="N80" i="15"/>
  <c r="O81" i="15"/>
  <c r="M48" i="15"/>
  <c r="E58" i="15"/>
  <c r="M58" i="15" s="1"/>
  <c r="O63" i="15"/>
  <c r="L46" i="15"/>
  <c r="N32" i="15"/>
  <c r="O46" i="15"/>
  <c r="N46" i="15"/>
  <c r="O16" i="15"/>
  <c r="N45" i="15"/>
  <c r="E37" i="15"/>
  <c r="O37" i="15" s="1"/>
  <c r="O48" i="15"/>
  <c r="O70" i="15"/>
  <c r="P70" i="15" s="1"/>
  <c r="N34" i="15"/>
  <c r="L45" i="15"/>
  <c r="M50" i="15"/>
  <c r="L16" i="15"/>
  <c r="E35" i="15"/>
  <c r="M35" i="15" s="1"/>
  <c r="M45" i="15"/>
  <c r="L72" i="15"/>
  <c r="N71" i="15"/>
  <c r="E75" i="15"/>
  <c r="L75" i="15" s="1"/>
  <c r="M16" i="15"/>
  <c r="O32" i="15"/>
  <c r="N48" i="15"/>
  <c r="N50" i="15"/>
  <c r="O71" i="15"/>
  <c r="P77" i="15"/>
  <c r="N33" i="15"/>
  <c r="L36" i="15"/>
  <c r="E62" i="15"/>
  <c r="N62" i="15" s="1"/>
  <c r="M72" i="15"/>
  <c r="O36" i="15"/>
  <c r="M57" i="15"/>
  <c r="L71" i="15"/>
  <c r="N72" i="15"/>
  <c r="M74" i="15"/>
  <c r="M36" i="15"/>
  <c r="O74" i="15"/>
  <c r="M32" i="15"/>
  <c r="L48" i="15"/>
  <c r="L50" i="15"/>
  <c r="E51" i="15"/>
  <c r="E52" i="15" s="1"/>
  <c r="N57" i="15"/>
  <c r="N74" i="15"/>
  <c r="E20" i="15"/>
  <c r="N19" i="15"/>
  <c r="O34" i="15"/>
  <c r="M34" i="15"/>
  <c r="L37" i="15"/>
  <c r="O44" i="15"/>
  <c r="M44" i="15"/>
  <c r="L44" i="15"/>
  <c r="N63" i="15"/>
  <c r="L63" i="15"/>
  <c r="M63" i="15"/>
  <c r="E64" i="15"/>
  <c r="E65" i="15"/>
  <c r="P73" i="15"/>
  <c r="O86" i="15"/>
  <c r="L19" i="15"/>
  <c r="O47" i="15"/>
  <c r="M47" i="15"/>
  <c r="L47" i="15"/>
  <c r="N47" i="15"/>
  <c r="N58" i="15"/>
  <c r="O17" i="15"/>
  <c r="N17" i="15"/>
  <c r="M17" i="15"/>
  <c r="M19" i="15"/>
  <c r="M33" i="15"/>
  <c r="L33" i="15"/>
  <c r="N44" i="15"/>
  <c r="N49" i="15"/>
  <c r="M49" i="15"/>
  <c r="L49" i="15"/>
  <c r="M86" i="15"/>
  <c r="O68" i="15"/>
  <c r="N68" i="15"/>
  <c r="M68" i="15"/>
  <c r="L68" i="15"/>
  <c r="O43" i="15"/>
  <c r="K46" i="15"/>
  <c r="O57" i="15"/>
  <c r="E66" i="15"/>
  <c r="M87" i="15"/>
  <c r="O87" i="15"/>
  <c r="M43" i="15"/>
  <c r="N16" i="15"/>
  <c r="M46" i="15"/>
  <c r="E59" i="15"/>
  <c r="E61" i="15" s="1"/>
  <c r="E60" i="15"/>
  <c r="E76" i="15"/>
  <c r="E18" i="15"/>
  <c r="O15" i="15"/>
  <c r="P15" i="15" s="1"/>
  <c r="O19" i="15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28" i="15"/>
  <c r="O29" i="15"/>
  <c r="P29" i="15" s="1"/>
  <c r="O31" i="15"/>
  <c r="P31" i="15" s="1"/>
  <c r="K74" i="15"/>
  <c r="P240" i="10"/>
  <c r="N296" i="10"/>
  <c r="E260" i="10"/>
  <c r="O260" i="10" s="1"/>
  <c r="M89" i="10"/>
  <c r="P89" i="10" s="1"/>
  <c r="L258" i="10"/>
  <c r="E226" i="10"/>
  <c r="N226" i="10" s="1"/>
  <c r="M147" i="10"/>
  <c r="P147" i="10" s="1"/>
  <c r="M123" i="10"/>
  <c r="P123" i="10" s="1"/>
  <c r="K225" i="10"/>
  <c r="L224" i="10"/>
  <c r="M224" i="10"/>
  <c r="N224" i="10"/>
  <c r="M88" i="10"/>
  <c r="P88" i="10" s="1"/>
  <c r="O121" i="10"/>
  <c r="M46" i="10"/>
  <c r="P46" i="10" s="1"/>
  <c r="N305" i="10"/>
  <c r="M155" i="10"/>
  <c r="P155" i="10" s="1"/>
  <c r="M80" i="10"/>
  <c r="K99" i="10"/>
  <c r="O279" i="10"/>
  <c r="M40" i="10"/>
  <c r="E113" i="10"/>
  <c r="N113" i="10" s="1"/>
  <c r="O80" i="10"/>
  <c r="K38" i="10"/>
  <c r="M56" i="10"/>
  <c r="P56" i="10" s="1"/>
  <c r="L276" i="10"/>
  <c r="L234" i="10"/>
  <c r="O144" i="10"/>
  <c r="E146" i="10"/>
  <c r="E145" i="10"/>
  <c r="L144" i="10"/>
  <c r="M144" i="10"/>
  <c r="K147" i="10"/>
  <c r="E105" i="10"/>
  <c r="O103" i="10"/>
  <c r="L103" i="10"/>
  <c r="M103" i="10"/>
  <c r="E104" i="10"/>
  <c r="O72" i="10"/>
  <c r="M72" i="10"/>
  <c r="E74" i="10"/>
  <c r="E73" i="10"/>
  <c r="L72" i="10"/>
  <c r="O41" i="10"/>
  <c r="E43" i="10"/>
  <c r="E42" i="10"/>
  <c r="K41" i="10"/>
  <c r="L41" i="10"/>
  <c r="M41" i="10"/>
  <c r="M112" i="10"/>
  <c r="K46" i="10"/>
  <c r="L80" i="10"/>
  <c r="N225" i="10"/>
  <c r="M261" i="10"/>
  <c r="M52" i="10"/>
  <c r="P52" i="10" s="1"/>
  <c r="M54" i="10"/>
  <c r="P54" i="10" s="1"/>
  <c r="N120" i="10"/>
  <c r="O49" i="10"/>
  <c r="P99" i="10"/>
  <c r="O111" i="10"/>
  <c r="O174" i="10"/>
  <c r="P174" i="10" s="1"/>
  <c r="M308" i="10"/>
  <c r="M68" i="10"/>
  <c r="P68" i="10" s="1"/>
  <c r="N236" i="10"/>
  <c r="L256" i="10"/>
  <c r="O263" i="10"/>
  <c r="M274" i="10"/>
  <c r="E294" i="10"/>
  <c r="M294" i="10" s="1"/>
  <c r="M305" i="10"/>
  <c r="E311" i="10"/>
  <c r="L311" i="10" s="1"/>
  <c r="M100" i="10"/>
  <c r="P100" i="10" s="1"/>
  <c r="M153" i="10"/>
  <c r="P153" i="10" s="1"/>
  <c r="N274" i="10"/>
  <c r="E277" i="10"/>
  <c r="M277" i="10" s="1"/>
  <c r="N293" i="10"/>
  <c r="L308" i="10"/>
  <c r="E314" i="10"/>
  <c r="M314" i="10" s="1"/>
  <c r="K149" i="10"/>
  <c r="N308" i="10"/>
  <c r="M39" i="10"/>
  <c r="P39" i="10" s="1"/>
  <c r="O141" i="10"/>
  <c r="P141" i="10" s="1"/>
  <c r="P202" i="10"/>
  <c r="N223" i="10"/>
  <c r="L233" i="10"/>
  <c r="L121" i="10"/>
  <c r="M149" i="10"/>
  <c r="P149" i="10" s="1"/>
  <c r="M181" i="10"/>
  <c r="P181" i="10" s="1"/>
  <c r="M205" i="10"/>
  <c r="P205" i="10" s="1"/>
  <c r="M207" i="10"/>
  <c r="O223" i="10"/>
  <c r="N233" i="10"/>
  <c r="N257" i="10"/>
  <c r="L263" i="10"/>
  <c r="O275" i="10"/>
  <c r="E310" i="10"/>
  <c r="N310" i="10" s="1"/>
  <c r="L312" i="10"/>
  <c r="E316" i="10"/>
  <c r="L316" i="10" s="1"/>
  <c r="E315" i="10"/>
  <c r="N315" i="10" s="1"/>
  <c r="N79" i="10"/>
  <c r="O116" i="10"/>
  <c r="P116" i="10" s="1"/>
  <c r="O119" i="10"/>
  <c r="P119" i="10" s="1"/>
  <c r="M143" i="10"/>
  <c r="P200" i="10"/>
  <c r="N49" i="10"/>
  <c r="M121" i="10"/>
  <c r="O126" i="10"/>
  <c r="P126" i="10" s="1"/>
  <c r="O233" i="10"/>
  <c r="M263" i="10"/>
  <c r="O312" i="10"/>
  <c r="M206" i="10"/>
  <c r="K206" i="10"/>
  <c r="O222" i="10"/>
  <c r="L222" i="10"/>
  <c r="O239" i="10"/>
  <c r="N239" i="10"/>
  <c r="P125" i="10"/>
  <c r="M170" i="10"/>
  <c r="K157" i="10"/>
  <c r="M157" i="10"/>
  <c r="P157" i="10" s="1"/>
  <c r="O85" i="10"/>
  <c r="M85" i="10"/>
  <c r="O177" i="10"/>
  <c r="M177" i="10"/>
  <c r="M193" i="10"/>
  <c r="P193" i="10" s="1"/>
  <c r="K193" i="10"/>
  <c r="O201" i="10"/>
  <c r="M201" i="10"/>
  <c r="O23" i="10"/>
  <c r="P23" i="10" s="1"/>
  <c r="K25" i="10"/>
  <c r="P37" i="10"/>
  <c r="K58" i="10"/>
  <c r="O129" i="10"/>
  <c r="P129" i="10" s="1"/>
  <c r="K140" i="10"/>
  <c r="O195" i="10"/>
  <c r="P195" i="10" s="1"/>
  <c r="K200" i="10"/>
  <c r="E297" i="10"/>
  <c r="O304" i="10"/>
  <c r="P304" i="10" s="1"/>
  <c r="K318" i="10"/>
  <c r="M48" i="10"/>
  <c r="O77" i="10"/>
  <c r="P77" i="10" s="1"/>
  <c r="M87" i="10"/>
  <c r="P87" i="10" s="1"/>
  <c r="O101" i="10"/>
  <c r="P101" i="10" s="1"/>
  <c r="M124" i="10"/>
  <c r="P124" i="10" s="1"/>
  <c r="O142" i="10"/>
  <c r="P142" i="10" s="1"/>
  <c r="M152" i="10"/>
  <c r="P152" i="10" s="1"/>
  <c r="O173" i="10"/>
  <c r="P173" i="10" s="1"/>
  <c r="K176" i="10"/>
  <c r="O203" i="10"/>
  <c r="P203" i="10" s="1"/>
  <c r="K217" i="10"/>
  <c r="L245" i="10"/>
  <c r="N261" i="10"/>
  <c r="L268" i="10"/>
  <c r="O295" i="10"/>
  <c r="E299" i="10"/>
  <c r="N301" i="10"/>
  <c r="N48" i="10"/>
  <c r="K47" i="10"/>
  <c r="P51" i="10"/>
  <c r="O231" i="10"/>
  <c r="P231" i="10" s="1"/>
  <c r="O245" i="10"/>
  <c r="N268" i="10"/>
  <c r="M296" i="10"/>
  <c r="M20" i="10"/>
  <c r="P20" i="10" s="1"/>
  <c r="M22" i="10"/>
  <c r="P22" i="10" s="1"/>
  <c r="M82" i="10"/>
  <c r="P82" i="10" s="1"/>
  <c r="K125" i="10"/>
  <c r="M128" i="10"/>
  <c r="P128" i="10" s="1"/>
  <c r="O194" i="10"/>
  <c r="P194" i="10" s="1"/>
  <c r="P217" i="10"/>
  <c r="L223" i="10"/>
  <c r="O234" i="10"/>
  <c r="L237" i="10"/>
  <c r="O268" i="10"/>
  <c r="O274" i="10"/>
  <c r="N276" i="10"/>
  <c r="M279" i="10"/>
  <c r="E283" i="10"/>
  <c r="E285" i="10" s="1"/>
  <c r="O285" i="10" s="1"/>
  <c r="M293" i="10"/>
  <c r="N312" i="10"/>
  <c r="O319" i="10"/>
  <c r="P319" i="10" s="1"/>
  <c r="M58" i="10"/>
  <c r="P58" i="10" s="1"/>
  <c r="N245" i="10"/>
  <c r="E302" i="10"/>
  <c r="P25" i="10"/>
  <c r="N112" i="10"/>
  <c r="P140" i="10"/>
  <c r="P154" i="10"/>
  <c r="O180" i="10"/>
  <c r="P180" i="10" s="1"/>
  <c r="K202" i="10"/>
  <c r="N17" i="10"/>
  <c r="M47" i="10"/>
  <c r="P47" i="10" s="1"/>
  <c r="M49" i="10"/>
  <c r="M57" i="10"/>
  <c r="M86" i="10"/>
  <c r="P86" i="10" s="1"/>
  <c r="M150" i="10"/>
  <c r="P150" i="10" s="1"/>
  <c r="P176" i="10"/>
  <c r="N279" i="10"/>
  <c r="L296" i="10"/>
  <c r="E298" i="10"/>
  <c r="K40" i="10"/>
  <c r="O40" i="10"/>
  <c r="O112" i="10"/>
  <c r="K112" i="10"/>
  <c r="L238" i="10"/>
  <c r="M238" i="10"/>
  <c r="N238" i="10"/>
  <c r="O238" i="10"/>
  <c r="O69" i="10"/>
  <c r="K242" i="10"/>
  <c r="K252" i="10"/>
  <c r="O250" i="10"/>
  <c r="N250" i="10"/>
  <c r="O259" i="10"/>
  <c r="L259" i="10"/>
  <c r="M259" i="10"/>
  <c r="K284" i="10"/>
  <c r="K289" i="10"/>
  <c r="M287" i="10"/>
  <c r="L287" i="10"/>
  <c r="K44" i="10"/>
  <c r="K51" i="10"/>
  <c r="O55" i="10"/>
  <c r="P55" i="10" s="1"/>
  <c r="O57" i="10"/>
  <c r="O75" i="10"/>
  <c r="P75" i="10" s="1"/>
  <c r="K169" i="10"/>
  <c r="O246" i="10"/>
  <c r="N246" i="10"/>
  <c r="L246" i="10"/>
  <c r="O248" i="10"/>
  <c r="M248" i="10"/>
  <c r="K265" i="10"/>
  <c r="O282" i="10"/>
  <c r="L282" i="10"/>
  <c r="M282" i="10"/>
  <c r="K298" i="10"/>
  <c r="M307" i="10"/>
  <c r="L307" i="10"/>
  <c r="O307" i="10"/>
  <c r="N307" i="10"/>
  <c r="L309" i="10"/>
  <c r="N309" i="10"/>
  <c r="M309" i="10"/>
  <c r="O15" i="10"/>
  <c r="P15" i="10" s="1"/>
  <c r="O16" i="10"/>
  <c r="P16" i="10" s="1"/>
  <c r="M24" i="10"/>
  <c r="P24" i="10" s="1"/>
  <c r="M69" i="10"/>
  <c r="M79" i="10"/>
  <c r="L79" i="10"/>
  <c r="K84" i="10"/>
  <c r="M110" i="10"/>
  <c r="O143" i="10"/>
  <c r="O182" i="10"/>
  <c r="P182" i="10" s="1"/>
  <c r="M221" i="10"/>
  <c r="O221" i="10"/>
  <c r="O225" i="10"/>
  <c r="L225" i="10"/>
  <c r="M225" i="10"/>
  <c r="K248" i="10"/>
  <c r="L250" i="10"/>
  <c r="N259" i="10"/>
  <c r="N287" i="10"/>
  <c r="O313" i="10"/>
  <c r="N313" i="10"/>
  <c r="L313" i="10"/>
  <c r="L17" i="10"/>
  <c r="M44" i="10"/>
  <c r="P44" i="10" s="1"/>
  <c r="O71" i="10"/>
  <c r="P71" i="10" s="1"/>
  <c r="K100" i="10"/>
  <c r="O109" i="10"/>
  <c r="P109" i="10" s="1"/>
  <c r="L120" i="10"/>
  <c r="K150" i="10"/>
  <c r="M156" i="10"/>
  <c r="P156" i="10" s="1"/>
  <c r="M178" i="10"/>
  <c r="P178" i="10" s="1"/>
  <c r="M246" i="10"/>
  <c r="L248" i="10"/>
  <c r="M250" i="10"/>
  <c r="M258" i="10"/>
  <c r="M278" i="10"/>
  <c r="L278" i="10"/>
  <c r="O278" i="10"/>
  <c r="N278" i="10"/>
  <c r="N282" i="10"/>
  <c r="O287" i="10"/>
  <c r="E306" i="10"/>
  <c r="L305" i="10"/>
  <c r="O309" i="10"/>
  <c r="O110" i="10"/>
  <c r="L110" i="10"/>
  <c r="P169" i="10"/>
  <c r="N232" i="10"/>
  <c r="L232" i="10"/>
  <c r="K269" i="10"/>
  <c r="O276" i="10"/>
  <c r="O83" i="10"/>
  <c r="P83" i="10" s="1"/>
  <c r="P84" i="10"/>
  <c r="O120" i="10"/>
  <c r="K154" i="10"/>
  <c r="O158" i="10"/>
  <c r="P158" i="10" s="1"/>
  <c r="O249" i="10"/>
  <c r="L249" i="10"/>
  <c r="K251" i="10"/>
  <c r="O26" i="10"/>
  <c r="P26" i="10" s="1"/>
  <c r="O27" i="10"/>
  <c r="P27" i="10" s="1"/>
  <c r="K37" i="10"/>
  <c r="M106" i="10"/>
  <c r="M108" i="10"/>
  <c r="P108" i="10" s="1"/>
  <c r="L111" i="10"/>
  <c r="O118" i="10"/>
  <c r="P118" i="10" s="1"/>
  <c r="M127" i="10"/>
  <c r="P127" i="10" s="1"/>
  <c r="O130" i="10"/>
  <c r="P130" i="10" s="1"/>
  <c r="N222" i="10"/>
  <c r="M222" i="10"/>
  <c r="M232" i="10"/>
  <c r="O237" i="10"/>
  <c r="N237" i="10"/>
  <c r="M237" i="10"/>
  <c r="M249" i="10"/>
  <c r="O273" i="10"/>
  <c r="M273" i="10"/>
  <c r="M276" i="10"/>
  <c r="O281" i="10"/>
  <c r="N281" i="10"/>
  <c r="M281" i="10"/>
  <c r="L281" i="10"/>
  <c r="M102" i="10"/>
  <c r="O102" i="10"/>
  <c r="M219" i="10"/>
  <c r="O219" i="10"/>
  <c r="O17" i="10"/>
  <c r="O21" i="10"/>
  <c r="P21" i="10" s="1"/>
  <c r="O78" i="10"/>
  <c r="K89" i="10"/>
  <c r="O247" i="10"/>
  <c r="M255" i="10"/>
  <c r="O255" i="10"/>
  <c r="K258" i="10"/>
  <c r="L48" i="10"/>
  <c r="M53" i="10"/>
  <c r="P53" i="10" s="1"/>
  <c r="M70" i="10"/>
  <c r="P70" i="10" s="1"/>
  <c r="M78" i="10"/>
  <c r="K88" i="10"/>
  <c r="N111" i="10"/>
  <c r="O179" i="10"/>
  <c r="P179" i="10" s="1"/>
  <c r="M183" i="10"/>
  <c r="P183" i="10" s="1"/>
  <c r="K183" i="10"/>
  <c r="O204" i="10"/>
  <c r="M204" i="10"/>
  <c r="O232" i="10"/>
  <c r="O236" i="10"/>
  <c r="M236" i="10"/>
  <c r="L236" i="10"/>
  <c r="M247" i="10"/>
  <c r="M262" i="10"/>
  <c r="O262" i="10"/>
  <c r="N262" i="10"/>
  <c r="L301" i="10"/>
  <c r="K305" i="10"/>
  <c r="O207" i="10"/>
  <c r="M218" i="10"/>
  <c r="M234" i="10"/>
  <c r="K241" i="10"/>
  <c r="O257" i="10"/>
  <c r="L257" i="10"/>
  <c r="M275" i="10"/>
  <c r="L275" i="10"/>
  <c r="M301" i="10"/>
  <c r="O308" i="10"/>
  <c r="E235" i="10"/>
  <c r="E241" i="10"/>
  <c r="N234" i="10"/>
  <c r="M239" i="10"/>
  <c r="L239" i="10"/>
  <c r="K249" i="10"/>
  <c r="O256" i="10"/>
  <c r="N256" i="10"/>
  <c r="O261" i="10"/>
  <c r="L261" i="10"/>
  <c r="L295" i="10"/>
  <c r="O229" i="10"/>
  <c r="P229" i="10" s="1"/>
  <c r="E264" i="10"/>
  <c r="N258" i="10"/>
  <c r="K283" i="10"/>
  <c r="M295" i="10"/>
  <c r="E280" i="10"/>
  <c r="L293" i="10"/>
  <c r="O293" i="10"/>
  <c r="E300" i="10"/>
  <c r="P105" i="9"/>
  <c r="E157" i="9"/>
  <c r="L157" i="9" s="1"/>
  <c r="P56" i="9"/>
  <c r="M93" i="9"/>
  <c r="P93" i="9" s="1"/>
  <c r="N155" i="9"/>
  <c r="O94" i="9"/>
  <c r="L33" i="9"/>
  <c r="N96" i="9"/>
  <c r="N133" i="9"/>
  <c r="O154" i="9"/>
  <c r="P154" i="9" s="1"/>
  <c r="L29" i="9"/>
  <c r="M33" i="9"/>
  <c r="P52" i="9"/>
  <c r="L63" i="9"/>
  <c r="O68" i="9"/>
  <c r="N76" i="9"/>
  <c r="L84" i="9"/>
  <c r="M127" i="9"/>
  <c r="L131" i="9"/>
  <c r="O133" i="9"/>
  <c r="K57" i="9"/>
  <c r="L53" i="9"/>
  <c r="M91" i="9"/>
  <c r="P91" i="9" s="1"/>
  <c r="L133" i="9"/>
  <c r="L146" i="9"/>
  <c r="M53" i="9"/>
  <c r="L76" i="9"/>
  <c r="O107" i="9"/>
  <c r="P107" i="9" s="1"/>
  <c r="M17" i="9"/>
  <c r="M29" i="9"/>
  <c r="M36" i="9"/>
  <c r="P36" i="9" s="1"/>
  <c r="N63" i="9"/>
  <c r="L100" i="9"/>
  <c r="O102" i="9"/>
  <c r="O109" i="9"/>
  <c r="N127" i="9"/>
  <c r="P127" i="9" s="1"/>
  <c r="O19" i="9"/>
  <c r="M19" i="9"/>
  <c r="P32" i="9"/>
  <c r="O77" i="9"/>
  <c r="P77" i="9" s="1"/>
  <c r="P90" i="9"/>
  <c r="O104" i="9"/>
  <c r="P104" i="9" s="1"/>
  <c r="O144" i="9"/>
  <c r="M146" i="9"/>
  <c r="P17" i="9"/>
  <c r="L42" i="9"/>
  <c r="P47" i="9"/>
  <c r="L54" i="9"/>
  <c r="M76" i="9"/>
  <c r="N80" i="9"/>
  <c r="P88" i="9"/>
  <c r="O103" i="9"/>
  <c r="P103" i="9" s="1"/>
  <c r="M129" i="9"/>
  <c r="P129" i="9" s="1"/>
  <c r="K141" i="9"/>
  <c r="L144" i="9"/>
  <c r="N146" i="9"/>
  <c r="O149" i="9"/>
  <c r="P149" i="9" s="1"/>
  <c r="M54" i="9"/>
  <c r="K15" i="9"/>
  <c r="O99" i="9"/>
  <c r="P99" i="9" s="1"/>
  <c r="O160" i="9"/>
  <c r="P160" i="9" s="1"/>
  <c r="K37" i="9"/>
  <c r="M45" i="9"/>
  <c r="O63" i="9"/>
  <c r="P63" i="9" s="1"/>
  <c r="M67" i="9"/>
  <c r="K130" i="9"/>
  <c r="M131" i="9"/>
  <c r="N132" i="9"/>
  <c r="E145" i="9"/>
  <c r="N33" i="9"/>
  <c r="L41" i="9"/>
  <c r="N45" i="9"/>
  <c r="N49" i="9"/>
  <c r="N53" i="9"/>
  <c r="P53" i="9" s="1"/>
  <c r="M62" i="9"/>
  <c r="M75" i="9"/>
  <c r="L77" i="9"/>
  <c r="O100" i="9"/>
  <c r="P100" i="9" s="1"/>
  <c r="M109" i="9"/>
  <c r="O113" i="9"/>
  <c r="N131" i="9"/>
  <c r="O132" i="9"/>
  <c r="O142" i="9"/>
  <c r="K146" i="9"/>
  <c r="E148" i="9"/>
  <c r="M148" i="9" s="1"/>
  <c r="N152" i="9"/>
  <c r="M42" i="9"/>
  <c r="N41" i="9"/>
  <c r="N42" i="9"/>
  <c r="N54" i="9"/>
  <c r="P54" i="9" s="1"/>
  <c r="O59" i="9"/>
  <c r="P59" i="9" s="1"/>
  <c r="M100" i="9"/>
  <c r="O29" i="9"/>
  <c r="P29" i="9" s="1"/>
  <c r="O44" i="9"/>
  <c r="N87" i="9"/>
  <c r="P87" i="9" s="1"/>
  <c r="O95" i="9"/>
  <c r="P95" i="9" s="1"/>
  <c r="O116" i="9"/>
  <c r="P116" i="9" s="1"/>
  <c r="M124" i="9"/>
  <c r="P124" i="9" s="1"/>
  <c r="M15" i="9"/>
  <c r="N15" i="9"/>
  <c r="L32" i="9"/>
  <c r="K36" i="9"/>
  <c r="M37" i="9"/>
  <c r="P37" i="9" s="1"/>
  <c r="M41" i="9"/>
  <c r="M44" i="9"/>
  <c r="O45" i="9"/>
  <c r="N62" i="9"/>
  <c r="N81" i="9"/>
  <c r="P81" i="9" s="1"/>
  <c r="O97" i="9"/>
  <c r="N102" i="9"/>
  <c r="P102" i="9" s="1"/>
  <c r="N109" i="9"/>
  <c r="L127" i="9"/>
  <c r="M130" i="9"/>
  <c r="P130" i="9" s="1"/>
  <c r="L155" i="9"/>
  <c r="M24" i="9"/>
  <c r="O24" i="9"/>
  <c r="M21" i="9"/>
  <c r="P21" i="9" s="1"/>
  <c r="M22" i="9"/>
  <c r="N25" i="9"/>
  <c r="L25" i="9"/>
  <c r="M25" i="9"/>
  <c r="O78" i="9"/>
  <c r="M78" i="9"/>
  <c r="N79" i="9"/>
  <c r="L141" i="9"/>
  <c r="O141" i="9"/>
  <c r="N141" i="9"/>
  <c r="M141" i="9"/>
  <c r="N158" i="9"/>
  <c r="M158" i="9"/>
  <c r="L158" i="9"/>
  <c r="N162" i="9"/>
  <c r="M162" i="9"/>
  <c r="L162" i="9"/>
  <c r="O162" i="9"/>
  <c r="O25" i="9"/>
  <c r="P43" i="9"/>
  <c r="K48" i="9"/>
  <c r="K93" i="9"/>
  <c r="O98" i="9"/>
  <c r="N98" i="9"/>
  <c r="M98" i="9"/>
  <c r="K105" i="9"/>
  <c r="P128" i="9"/>
  <c r="O158" i="9"/>
  <c r="M18" i="9"/>
  <c r="P18" i="9" s="1"/>
  <c r="K18" i="9"/>
  <c r="N83" i="9"/>
  <c r="L83" i="9"/>
  <c r="O83" i="9"/>
  <c r="L136" i="9"/>
  <c r="O136" i="9"/>
  <c r="N136" i="9"/>
  <c r="N159" i="9"/>
  <c r="M159" i="9"/>
  <c r="L159" i="9"/>
  <c r="N27" i="9"/>
  <c r="L27" i="9"/>
  <c r="O27" i="9"/>
  <c r="M27" i="9"/>
  <c r="O40" i="9"/>
  <c r="P40" i="9" s="1"/>
  <c r="K40" i="9"/>
  <c r="K47" i="9"/>
  <c r="M69" i="9"/>
  <c r="E71" i="9"/>
  <c r="N69" i="9"/>
  <c r="L69" i="9"/>
  <c r="K91" i="9"/>
  <c r="O38" i="9"/>
  <c r="O60" i="9"/>
  <c r="M60" i="9"/>
  <c r="L60" i="9"/>
  <c r="O66" i="9"/>
  <c r="P66" i="9" s="1"/>
  <c r="O69" i="9"/>
  <c r="M83" i="9"/>
  <c r="O111" i="9"/>
  <c r="M111" i="9"/>
  <c r="K148" i="9"/>
  <c r="O155" i="9"/>
  <c r="K155" i="9"/>
  <c r="O26" i="9"/>
  <c r="P26" i="9" s="1"/>
  <c r="P57" i="9"/>
  <c r="O67" i="9"/>
  <c r="K90" i="9"/>
  <c r="O159" i="9"/>
  <c r="K21" i="9"/>
  <c r="O23" i="9"/>
  <c r="O28" i="9"/>
  <c r="M28" i="9"/>
  <c r="N31" i="9"/>
  <c r="O31" i="9"/>
  <c r="M31" i="9"/>
  <c r="O34" i="9"/>
  <c r="M34" i="9"/>
  <c r="M35" i="9"/>
  <c r="P35" i="9" s="1"/>
  <c r="K51" i="9"/>
  <c r="N60" i="9"/>
  <c r="L79" i="9"/>
  <c r="P94" i="9"/>
  <c r="P101" i="9"/>
  <c r="O151" i="9"/>
  <c r="N151" i="9"/>
  <c r="M151" i="9"/>
  <c r="L151" i="9"/>
  <c r="N50" i="9"/>
  <c r="M50" i="9"/>
  <c r="L50" i="9"/>
  <c r="N85" i="9"/>
  <c r="P85" i="9" s="1"/>
  <c r="K85" i="9"/>
  <c r="O74" i="9"/>
  <c r="P74" i="9" s="1"/>
  <c r="O115" i="9"/>
  <c r="P115" i="9" s="1"/>
  <c r="M122" i="9"/>
  <c r="P122" i="9" s="1"/>
  <c r="K122" i="9"/>
  <c r="K129" i="9"/>
  <c r="M23" i="9"/>
  <c r="L23" i="9"/>
  <c r="K35" i="9"/>
  <c r="O50" i="9"/>
  <c r="K52" i="9"/>
  <c r="P61" i="9"/>
  <c r="E143" i="9"/>
  <c r="N142" i="9"/>
  <c r="M142" i="9"/>
  <c r="L142" i="9"/>
  <c r="O22" i="9"/>
  <c r="P51" i="9"/>
  <c r="M82" i="9"/>
  <c r="P82" i="9" s="1"/>
  <c r="K82" i="9"/>
  <c r="O119" i="9"/>
  <c r="N119" i="9"/>
  <c r="M119" i="9"/>
  <c r="L119" i="9"/>
  <c r="K124" i="9"/>
  <c r="O126" i="9"/>
  <c r="N126" i="9"/>
  <c r="M126" i="9"/>
  <c r="L126" i="9"/>
  <c r="M136" i="9"/>
  <c r="K144" i="9"/>
  <c r="M16" i="9"/>
  <c r="P16" i="9" s="1"/>
  <c r="N19" i="9"/>
  <c r="L19" i="9"/>
  <c r="N23" i="9"/>
  <c r="M38" i="9"/>
  <c r="M46" i="9"/>
  <c r="O46" i="9"/>
  <c r="N46" i="9"/>
  <c r="L46" i="9"/>
  <c r="E70" i="9"/>
  <c r="N75" i="9"/>
  <c r="O75" i="9"/>
  <c r="M79" i="9"/>
  <c r="K94" i="9"/>
  <c r="N108" i="9"/>
  <c r="L112" i="9"/>
  <c r="O112" i="9"/>
  <c r="N112" i="9"/>
  <c r="L135" i="9"/>
  <c r="O135" i="9"/>
  <c r="N135" i="9"/>
  <c r="M135" i="9"/>
  <c r="K149" i="9"/>
  <c r="O164" i="9"/>
  <c r="N164" i="9"/>
  <c r="M164" i="9"/>
  <c r="L164" i="9"/>
  <c r="O110" i="9"/>
  <c r="N114" i="9"/>
  <c r="M114" i="9"/>
  <c r="L114" i="9"/>
  <c r="M140" i="9"/>
  <c r="N161" i="9"/>
  <c r="M161" i="9"/>
  <c r="L161" i="9"/>
  <c r="O166" i="9"/>
  <c r="N166" i="9"/>
  <c r="N68" i="9"/>
  <c r="L68" i="9"/>
  <c r="N118" i="9"/>
  <c r="M118" i="9"/>
  <c r="L118" i="9"/>
  <c r="O125" i="9"/>
  <c r="P125" i="9" s="1"/>
  <c r="O140" i="9"/>
  <c r="O147" i="9"/>
  <c r="N147" i="9"/>
  <c r="O150" i="9"/>
  <c r="N150" i="9"/>
  <c r="M150" i="9"/>
  <c r="O157" i="9"/>
  <c r="L97" i="9"/>
  <c r="O114" i="9"/>
  <c r="O163" i="9"/>
  <c r="N163" i="9"/>
  <c r="M163" i="9"/>
  <c r="L166" i="9"/>
  <c r="N67" i="9"/>
  <c r="L67" i="9"/>
  <c r="O84" i="9"/>
  <c r="M84" i="9"/>
  <c r="L102" i="9"/>
  <c r="M110" i="9"/>
  <c r="O120" i="9"/>
  <c r="N120" i="9"/>
  <c r="O49" i="9"/>
  <c r="M49" i="9"/>
  <c r="O96" i="9"/>
  <c r="M96" i="9"/>
  <c r="M97" i="9"/>
  <c r="M113" i="9"/>
  <c r="L113" i="9"/>
  <c r="M137" i="9"/>
  <c r="P137" i="9" s="1"/>
  <c r="L137" i="9"/>
  <c r="L147" i="9"/>
  <c r="O156" i="9"/>
  <c r="N156" i="9"/>
  <c r="M156" i="9"/>
  <c r="O161" i="9"/>
  <c r="O165" i="9"/>
  <c r="N165" i="9"/>
  <c r="M165" i="9"/>
  <c r="M166" i="9"/>
  <c r="P62" i="9" l="1"/>
  <c r="P42" i="9"/>
  <c r="P131" i="9"/>
  <c r="K123" i="9"/>
  <c r="P33" i="9"/>
  <c r="K99" i="9"/>
  <c r="P18" i="11"/>
  <c r="K17" i="12"/>
  <c r="P152" i="9"/>
  <c r="P144" i="9"/>
  <c r="L35" i="15"/>
  <c r="P24" i="9"/>
  <c r="K142" i="9"/>
  <c r="P68" i="9"/>
  <c r="P108" i="9"/>
  <c r="P132" i="9"/>
  <c r="P80" i="9"/>
  <c r="P109" i="9"/>
  <c r="P134" i="9"/>
  <c r="P118" i="9"/>
  <c r="P133" i="9"/>
  <c r="M157" i="9"/>
  <c r="N157" i="9"/>
  <c r="P157" i="9" s="1"/>
  <c r="P76" i="9"/>
  <c r="K103" i="9"/>
  <c r="M62" i="15"/>
  <c r="P27" i="11"/>
  <c r="M25" i="11"/>
  <c r="N25" i="11"/>
  <c r="O25" i="11"/>
  <c r="L25" i="11"/>
  <c r="P19" i="11"/>
  <c r="P20" i="11"/>
  <c r="K15" i="11"/>
  <c r="K15" i="12"/>
  <c r="M15" i="12"/>
  <c r="P15" i="12" s="1"/>
  <c r="P16" i="11"/>
  <c r="O23" i="11"/>
  <c r="P23" i="11" s="1"/>
  <c r="K23" i="11"/>
  <c r="O22" i="11"/>
  <c r="P22" i="11" s="1"/>
  <c r="K22" i="11"/>
  <c r="O21" i="11"/>
  <c r="N21" i="11"/>
  <c r="M21" i="11"/>
  <c r="L21" i="11"/>
  <c r="M28" i="11"/>
  <c r="O28" i="11"/>
  <c r="N28" i="11"/>
  <c r="L28" i="11"/>
  <c r="O24" i="11"/>
  <c r="P24" i="11" s="1"/>
  <c r="K24" i="11"/>
  <c r="P50" i="15"/>
  <c r="P80" i="15"/>
  <c r="N35" i="15"/>
  <c r="O35" i="15"/>
  <c r="K82" i="15"/>
  <c r="P82" i="15"/>
  <c r="O83" i="15"/>
  <c r="N83" i="15"/>
  <c r="L83" i="15"/>
  <c r="M83" i="15"/>
  <c r="L84" i="15"/>
  <c r="O84" i="15"/>
  <c r="N84" i="15"/>
  <c r="M84" i="15"/>
  <c r="P79" i="15"/>
  <c r="P81" i="15"/>
  <c r="K79" i="15"/>
  <c r="O78" i="15"/>
  <c r="P78" i="15" s="1"/>
  <c r="K78" i="15"/>
  <c r="O58" i="15"/>
  <c r="P58" i="15" s="1"/>
  <c r="K57" i="15"/>
  <c r="L58" i="15"/>
  <c r="P46" i="15"/>
  <c r="M51" i="15"/>
  <c r="P36" i="15"/>
  <c r="N51" i="15"/>
  <c r="E54" i="15"/>
  <c r="M54" i="15" s="1"/>
  <c r="P32" i="15"/>
  <c r="K70" i="15"/>
  <c r="O51" i="15"/>
  <c r="L51" i="15"/>
  <c r="E53" i="15"/>
  <c r="O53" i="15" s="1"/>
  <c r="K31" i="15"/>
  <c r="P48" i="15"/>
  <c r="E55" i="15"/>
  <c r="N55" i="15" s="1"/>
  <c r="P74" i="15"/>
  <c r="P45" i="15"/>
  <c r="P28" i="15"/>
  <c r="H23" i="2"/>
  <c r="E41" i="15"/>
  <c r="N41" i="15" s="1"/>
  <c r="K28" i="15"/>
  <c r="E67" i="15"/>
  <c r="L67" i="15" s="1"/>
  <c r="E38" i="15"/>
  <c r="M38" i="15" s="1"/>
  <c r="K19" i="15"/>
  <c r="K34" i="15"/>
  <c r="E39" i="15"/>
  <c r="L39" i="15" s="1"/>
  <c r="E40" i="15"/>
  <c r="O40" i="15" s="1"/>
  <c r="P72" i="15"/>
  <c r="M37" i="15"/>
  <c r="P57" i="15"/>
  <c r="N37" i="15"/>
  <c r="P19" i="15"/>
  <c r="M75" i="15"/>
  <c r="N75" i="15"/>
  <c r="O75" i="15"/>
  <c r="P16" i="15"/>
  <c r="P49" i="15"/>
  <c r="K86" i="15"/>
  <c r="P34" i="15"/>
  <c r="P33" i="15"/>
  <c r="K51" i="15"/>
  <c r="P71" i="15"/>
  <c r="P63" i="15"/>
  <c r="K87" i="15"/>
  <c r="K24" i="15"/>
  <c r="O62" i="15"/>
  <c r="P62" i="15" s="1"/>
  <c r="L62" i="15"/>
  <c r="N76" i="15"/>
  <c r="L76" i="15"/>
  <c r="M76" i="15"/>
  <c r="O76" i="15"/>
  <c r="O66" i="15"/>
  <c r="M66" i="15"/>
  <c r="N66" i="15"/>
  <c r="L66" i="15"/>
  <c r="P43" i="15"/>
  <c r="K43" i="15"/>
  <c r="O52" i="15"/>
  <c r="N52" i="15"/>
  <c r="M52" i="15"/>
  <c r="L52" i="15"/>
  <c r="O20" i="15"/>
  <c r="N20" i="15"/>
  <c r="M20" i="15"/>
  <c r="L20" i="15"/>
  <c r="P87" i="15"/>
  <c r="K26" i="15"/>
  <c r="K29" i="15"/>
  <c r="P86" i="15"/>
  <c r="K22" i="15"/>
  <c r="K25" i="15"/>
  <c r="M59" i="15"/>
  <c r="L59" i="15"/>
  <c r="N59" i="15"/>
  <c r="O59" i="15"/>
  <c r="K23" i="15"/>
  <c r="O65" i="15"/>
  <c r="M65" i="15"/>
  <c r="N65" i="15"/>
  <c r="L65" i="15"/>
  <c r="L18" i="15"/>
  <c r="O18" i="15"/>
  <c r="N18" i="15"/>
  <c r="M18" i="15"/>
  <c r="N61" i="15"/>
  <c r="L61" i="15"/>
  <c r="M61" i="15"/>
  <c r="O61" i="15"/>
  <c r="M60" i="15"/>
  <c r="L60" i="15"/>
  <c r="O60" i="15"/>
  <c r="N60" i="15"/>
  <c r="P68" i="15"/>
  <c r="P47" i="15"/>
  <c r="K15" i="15"/>
  <c r="P17" i="15"/>
  <c r="K27" i="15"/>
  <c r="O64" i="15"/>
  <c r="M64" i="15"/>
  <c r="N64" i="15"/>
  <c r="L64" i="15"/>
  <c r="P44" i="15"/>
  <c r="N260" i="10"/>
  <c r="L260" i="10"/>
  <c r="P48" i="10"/>
  <c r="M260" i="10"/>
  <c r="L277" i="10"/>
  <c r="P121" i="10"/>
  <c r="L226" i="10"/>
  <c r="P308" i="10"/>
  <c r="P275" i="10"/>
  <c r="E227" i="10"/>
  <c r="M227" i="10" s="1"/>
  <c r="E288" i="10"/>
  <c r="M288" i="10" s="1"/>
  <c r="E228" i="10"/>
  <c r="N228" i="10" s="1"/>
  <c r="M226" i="10"/>
  <c r="P41" i="10"/>
  <c r="O226" i="10"/>
  <c r="M113" i="10"/>
  <c r="L113" i="10"/>
  <c r="L310" i="10"/>
  <c r="O113" i="10"/>
  <c r="E114" i="10"/>
  <c r="O114" i="10" s="1"/>
  <c r="M311" i="10"/>
  <c r="L315" i="10"/>
  <c r="P49" i="10"/>
  <c r="P80" i="10"/>
  <c r="P224" i="10"/>
  <c r="P207" i="10"/>
  <c r="L294" i="10"/>
  <c r="K15" i="10"/>
  <c r="K174" i="10"/>
  <c r="P223" i="10"/>
  <c r="K72" i="10"/>
  <c r="P57" i="10"/>
  <c r="O38" i="10"/>
  <c r="P38" i="10" s="1"/>
  <c r="O294" i="10"/>
  <c r="N316" i="10"/>
  <c r="E115" i="10"/>
  <c r="M115" i="10" s="1"/>
  <c r="P111" i="10"/>
  <c r="P263" i="10"/>
  <c r="O315" i="10"/>
  <c r="P120" i="10"/>
  <c r="P40" i="10"/>
  <c r="K195" i="10"/>
  <c r="K173" i="10"/>
  <c r="K103" i="10"/>
  <c r="P143" i="10"/>
  <c r="O146" i="10"/>
  <c r="N146" i="10"/>
  <c r="M146" i="10"/>
  <c r="L146" i="10"/>
  <c r="O145" i="10"/>
  <c r="M145" i="10"/>
  <c r="N145" i="10"/>
  <c r="L145" i="10"/>
  <c r="P144" i="10"/>
  <c r="K116" i="10"/>
  <c r="K113" i="10"/>
  <c r="P103" i="10"/>
  <c r="O104" i="10"/>
  <c r="N104" i="10"/>
  <c r="L104" i="10"/>
  <c r="M104" i="10"/>
  <c r="O105" i="10"/>
  <c r="N105" i="10"/>
  <c r="M105" i="10"/>
  <c r="L105" i="10"/>
  <c r="O73" i="10"/>
  <c r="N73" i="10"/>
  <c r="M73" i="10"/>
  <c r="L73" i="10"/>
  <c r="N74" i="10"/>
  <c r="O74" i="10"/>
  <c r="M74" i="10"/>
  <c r="L74" i="10"/>
  <c r="P72" i="10"/>
  <c r="O42" i="10"/>
  <c r="M42" i="10"/>
  <c r="N42" i="10"/>
  <c r="L42" i="10"/>
  <c r="O43" i="10"/>
  <c r="N43" i="10"/>
  <c r="M43" i="10"/>
  <c r="L43" i="10"/>
  <c r="P301" i="10"/>
  <c r="P312" i="10"/>
  <c r="N294" i="10"/>
  <c r="K78" i="10"/>
  <c r="P177" i="10"/>
  <c r="P239" i="10"/>
  <c r="P233" i="10"/>
  <c r="P261" i="10"/>
  <c r="N283" i="10"/>
  <c r="O258" i="10"/>
  <c r="P258" i="10" s="1"/>
  <c r="L285" i="10"/>
  <c r="O314" i="10"/>
  <c r="P279" i="10"/>
  <c r="K141" i="10"/>
  <c r="L314" i="10"/>
  <c r="K292" i="10"/>
  <c r="O292" i="10"/>
  <c r="P292" i="10" s="1"/>
  <c r="P234" i="10"/>
  <c r="M310" i="10"/>
  <c r="K194" i="10"/>
  <c r="P79" i="10"/>
  <c r="P274" i="10"/>
  <c r="M315" i="10"/>
  <c r="K197" i="10"/>
  <c r="O197" i="10"/>
  <c r="P197" i="10" s="1"/>
  <c r="K198" i="10"/>
  <c r="O198" i="10"/>
  <c r="P198" i="10" s="1"/>
  <c r="P295" i="10"/>
  <c r="O206" i="10"/>
  <c r="P206" i="10" s="1"/>
  <c r="O318" i="10"/>
  <c r="P318" i="10" s="1"/>
  <c r="K102" i="10"/>
  <c r="K231" i="10"/>
  <c r="O311" i="10"/>
  <c r="N311" i="10"/>
  <c r="O310" i="10"/>
  <c r="K109" i="10"/>
  <c r="M316" i="10"/>
  <c r="O316" i="10"/>
  <c r="K119" i="10"/>
  <c r="P112" i="10"/>
  <c r="P201" i="10"/>
  <c r="P257" i="10"/>
  <c r="N314" i="10"/>
  <c r="P232" i="10"/>
  <c r="K77" i="10"/>
  <c r="P276" i="10"/>
  <c r="P110" i="10"/>
  <c r="P238" i="10"/>
  <c r="O277" i="10"/>
  <c r="N277" i="10"/>
  <c r="L302" i="10"/>
  <c r="N302" i="10"/>
  <c r="M302" i="10"/>
  <c r="O302" i="10"/>
  <c r="N299" i="10"/>
  <c r="O299" i="10"/>
  <c r="M299" i="10"/>
  <c r="L299" i="10"/>
  <c r="K182" i="10"/>
  <c r="N285" i="10"/>
  <c r="P293" i="10"/>
  <c r="E286" i="10"/>
  <c r="O286" i="10" s="1"/>
  <c r="P222" i="10"/>
  <c r="P259" i="10"/>
  <c r="K69" i="10"/>
  <c r="K158" i="10"/>
  <c r="P268" i="10"/>
  <c r="P245" i="10"/>
  <c r="M298" i="10"/>
  <c r="O298" i="10"/>
  <c r="L298" i="10"/>
  <c r="M285" i="10"/>
  <c r="P85" i="10"/>
  <c r="K304" i="10"/>
  <c r="K71" i="10"/>
  <c r="K171" i="10"/>
  <c r="O171" i="10"/>
  <c r="P171" i="10" s="1"/>
  <c r="P17" i="10"/>
  <c r="N249" i="10"/>
  <c r="P249" i="10" s="1"/>
  <c r="P278" i="10"/>
  <c r="K219" i="10"/>
  <c r="K319" i="10"/>
  <c r="O283" i="10"/>
  <c r="M297" i="10"/>
  <c r="L297" i="10"/>
  <c r="O297" i="10"/>
  <c r="N297" i="10"/>
  <c r="N298" i="10"/>
  <c r="K170" i="10"/>
  <c r="O170" i="10"/>
  <c r="P170" i="10" s="1"/>
  <c r="M283" i="10"/>
  <c r="P255" i="10"/>
  <c r="L283" i="10"/>
  <c r="E284" i="10"/>
  <c r="N284" i="10" s="1"/>
  <c r="P221" i="10"/>
  <c r="K129" i="10"/>
  <c r="K26" i="10"/>
  <c r="K130" i="10"/>
  <c r="K296" i="10"/>
  <c r="O296" i="10"/>
  <c r="P296" i="10" s="1"/>
  <c r="O235" i="10"/>
  <c r="L235" i="10"/>
  <c r="M235" i="10"/>
  <c r="N235" i="10"/>
  <c r="L306" i="10"/>
  <c r="O306" i="10"/>
  <c r="N306" i="10"/>
  <c r="M306" i="10"/>
  <c r="P246" i="10"/>
  <c r="P273" i="10"/>
  <c r="K106" i="10"/>
  <c r="O106" i="10"/>
  <c r="P106" i="10" s="1"/>
  <c r="K276" i="10"/>
  <c r="O305" i="10"/>
  <c r="P305" i="10" s="1"/>
  <c r="K221" i="10"/>
  <c r="P282" i="10"/>
  <c r="P256" i="10"/>
  <c r="O218" i="10"/>
  <c r="P218" i="10" s="1"/>
  <c r="K218" i="10"/>
  <c r="P247" i="10"/>
  <c r="K273" i="10"/>
  <c r="N300" i="10"/>
  <c r="O300" i="10"/>
  <c r="M300" i="10"/>
  <c r="L300" i="10"/>
  <c r="K308" i="10"/>
  <c r="P236" i="10"/>
  <c r="K247" i="10"/>
  <c r="P219" i="10"/>
  <c r="P287" i="10"/>
  <c r="P313" i="10"/>
  <c r="P225" i="10"/>
  <c r="P307" i="10"/>
  <c r="P69" i="10"/>
  <c r="K118" i="10"/>
  <c r="K27" i="10"/>
  <c r="K75" i="10"/>
  <c r="P262" i="10"/>
  <c r="P204" i="10"/>
  <c r="P78" i="10"/>
  <c r="P281" i="10"/>
  <c r="P237" i="10"/>
  <c r="P309" i="10"/>
  <c r="P250" i="10"/>
  <c r="O159" i="10"/>
  <c r="P159" i="10" s="1"/>
  <c r="K159" i="10"/>
  <c r="N248" i="10"/>
  <c r="P248" i="10" s="1"/>
  <c r="N280" i="10"/>
  <c r="M280" i="10"/>
  <c r="O280" i="10"/>
  <c r="L280" i="10"/>
  <c r="E267" i="10"/>
  <c r="E266" i="10"/>
  <c r="E265" i="10"/>
  <c r="M264" i="10"/>
  <c r="E269" i="10"/>
  <c r="O264" i="10"/>
  <c r="N264" i="10"/>
  <c r="L264" i="10"/>
  <c r="L241" i="10"/>
  <c r="E251" i="10"/>
  <c r="O241" i="10"/>
  <c r="N241" i="10"/>
  <c r="E244" i="10"/>
  <c r="E242" i="10"/>
  <c r="M241" i="10"/>
  <c r="E243" i="10"/>
  <c r="P102" i="10"/>
  <c r="K16" i="10"/>
  <c r="K255" i="10"/>
  <c r="K125" i="9"/>
  <c r="P41" i="9"/>
  <c r="P113" i="9"/>
  <c r="P79" i="9"/>
  <c r="P158" i="9"/>
  <c r="O146" i="9"/>
  <c r="P146" i="9" s="1"/>
  <c r="K66" i="9"/>
  <c r="P45" i="9"/>
  <c r="K104" i="9"/>
  <c r="P155" i="9"/>
  <c r="K154" i="9"/>
  <c r="P110" i="9"/>
  <c r="P22" i="9"/>
  <c r="P50" i="9"/>
  <c r="K107" i="9"/>
  <c r="N148" i="9"/>
  <c r="P148" i="9" s="1"/>
  <c r="K78" i="9"/>
  <c r="P15" i="9"/>
  <c r="O148" i="9"/>
  <c r="K160" i="9"/>
  <c r="K140" i="9"/>
  <c r="P19" i="9"/>
  <c r="P151" i="9"/>
  <c r="P23" i="9"/>
  <c r="K116" i="9"/>
  <c r="P164" i="9"/>
  <c r="P46" i="9"/>
  <c r="P159" i="9"/>
  <c r="P156" i="9"/>
  <c r="P75" i="9"/>
  <c r="L148" i="9"/>
  <c r="K23" i="9"/>
  <c r="K69" i="9"/>
  <c r="K25" i="9"/>
  <c r="P120" i="9"/>
  <c r="P140" i="9"/>
  <c r="P112" i="9"/>
  <c r="P34" i="9"/>
  <c r="O145" i="9"/>
  <c r="N145" i="9"/>
  <c r="M145" i="9"/>
  <c r="L145" i="9"/>
  <c r="P97" i="9"/>
  <c r="K158" i="9"/>
  <c r="P96" i="9"/>
  <c r="P163" i="9"/>
  <c r="K95" i="9"/>
  <c r="P83" i="9"/>
  <c r="P162" i="9"/>
  <c r="P44" i="9"/>
  <c r="K44" i="9"/>
  <c r="P165" i="9"/>
  <c r="P84" i="9"/>
  <c r="K34" i="9"/>
  <c r="P111" i="9"/>
  <c r="K110" i="9"/>
  <c r="K26" i="9"/>
  <c r="P136" i="9"/>
  <c r="K30" i="9"/>
  <c r="O30" i="9"/>
  <c r="P30" i="9" s="1"/>
  <c r="K115" i="9"/>
  <c r="P27" i="9"/>
  <c r="P98" i="9"/>
  <c r="P25" i="9"/>
  <c r="K22" i="9"/>
  <c r="P119" i="9"/>
  <c r="P161" i="9"/>
  <c r="P114" i="9"/>
  <c r="P135" i="9"/>
  <c r="P60" i="9"/>
  <c r="P78" i="9"/>
  <c r="P142" i="9"/>
  <c r="P141" i="9"/>
  <c r="P147" i="9"/>
  <c r="P126" i="9"/>
  <c r="O143" i="9"/>
  <c r="N143" i="9"/>
  <c r="L143" i="9"/>
  <c r="M143" i="9"/>
  <c r="P69" i="9"/>
  <c r="K38" i="9"/>
  <c r="O71" i="9"/>
  <c r="M71" i="9"/>
  <c r="N71" i="9"/>
  <c r="L71" i="9"/>
  <c r="P150" i="9"/>
  <c r="N70" i="9"/>
  <c r="L70" i="9"/>
  <c r="O70" i="9"/>
  <c r="M70" i="9"/>
  <c r="P31" i="9"/>
  <c r="K111" i="9"/>
  <c r="K117" i="9"/>
  <c r="O117" i="9"/>
  <c r="P117" i="9" s="1"/>
  <c r="P49" i="9"/>
  <c r="O65" i="9"/>
  <c r="P65" i="9" s="1"/>
  <c r="K65" i="9"/>
  <c r="N72" i="9"/>
  <c r="P72" i="9" s="1"/>
  <c r="K72" i="9"/>
  <c r="P38" i="9"/>
  <c r="K24" i="9"/>
  <c r="P166" i="9"/>
  <c r="O86" i="9"/>
  <c r="P86" i="9" s="1"/>
  <c r="K86" i="9"/>
  <c r="K74" i="9"/>
  <c r="P28" i="9"/>
  <c r="P67" i="9"/>
  <c r="P25" i="11" l="1"/>
  <c r="N54" i="15"/>
  <c r="P35" i="15"/>
  <c r="P260" i="10"/>
  <c r="N227" i="10"/>
  <c r="L227" i="10"/>
  <c r="O227" i="10"/>
  <c r="P21" i="11"/>
  <c r="P28" i="11"/>
  <c r="M53" i="15"/>
  <c r="N53" i="15"/>
  <c r="L53" i="15"/>
  <c r="P84" i="15"/>
  <c r="P83" i="15"/>
  <c r="O54" i="15"/>
  <c r="O55" i="15"/>
  <c r="L54" i="15"/>
  <c r="L55" i="15"/>
  <c r="M55" i="15"/>
  <c r="O38" i="15"/>
  <c r="L38" i="15"/>
  <c r="N38" i="15"/>
  <c r="L40" i="15"/>
  <c r="P51" i="15"/>
  <c r="N40" i="15"/>
  <c r="P37" i="15"/>
  <c r="P75" i="15"/>
  <c r="M39" i="15"/>
  <c r="P53" i="15"/>
  <c r="N39" i="15"/>
  <c r="O67" i="15"/>
  <c r="O41" i="15"/>
  <c r="N67" i="15"/>
  <c r="M67" i="15"/>
  <c r="M40" i="15"/>
  <c r="L41" i="15"/>
  <c r="O39" i="15"/>
  <c r="M41" i="15"/>
  <c r="P60" i="15"/>
  <c r="P59" i="15"/>
  <c r="P76" i="15"/>
  <c r="P65" i="15"/>
  <c r="P20" i="15"/>
  <c r="P52" i="15"/>
  <c r="P61" i="15"/>
  <c r="P64" i="15"/>
  <c r="P18" i="15"/>
  <c r="P66" i="15"/>
  <c r="P226" i="10"/>
  <c r="P113" i="10"/>
  <c r="O228" i="10"/>
  <c r="N288" i="10"/>
  <c r="E289" i="10"/>
  <c r="M289" i="10" s="1"/>
  <c r="M284" i="10"/>
  <c r="E290" i="10"/>
  <c r="O290" i="10" s="1"/>
  <c r="O284" i="10"/>
  <c r="L228" i="10"/>
  <c r="O288" i="10"/>
  <c r="P311" i="10"/>
  <c r="P314" i="10"/>
  <c r="N115" i="10"/>
  <c r="M228" i="10"/>
  <c r="L288" i="10"/>
  <c r="P294" i="10"/>
  <c r="O115" i="10"/>
  <c r="L115" i="10"/>
  <c r="P316" i="10"/>
  <c r="P315" i="10"/>
  <c r="N114" i="10"/>
  <c r="L114" i="10"/>
  <c r="M114" i="10"/>
  <c r="L284" i="10"/>
  <c r="P145" i="10"/>
  <c r="P298" i="10"/>
  <c r="P302" i="10"/>
  <c r="N286" i="10"/>
  <c r="P146" i="10"/>
  <c r="P105" i="10"/>
  <c r="P104" i="10"/>
  <c r="P74" i="10"/>
  <c r="P73" i="10"/>
  <c r="P43" i="10"/>
  <c r="P42" i="10"/>
  <c r="M286" i="10"/>
  <c r="P285" i="10"/>
  <c r="P277" i="10"/>
  <c r="P310" i="10"/>
  <c r="P297" i="10"/>
  <c r="L286" i="10"/>
  <c r="P283" i="10"/>
  <c r="P299" i="10"/>
  <c r="P241" i="10"/>
  <c r="P300" i="10"/>
  <c r="P280" i="10"/>
  <c r="L242" i="10"/>
  <c r="N242" i="10"/>
  <c r="O242" i="10"/>
  <c r="M242" i="10"/>
  <c r="P264" i="10"/>
  <c r="M244" i="10"/>
  <c r="L244" i="10"/>
  <c r="O244" i="10"/>
  <c r="N244" i="10"/>
  <c r="O269" i="10"/>
  <c r="N269" i="10"/>
  <c r="E271" i="10"/>
  <c r="M269" i="10"/>
  <c r="E270" i="10"/>
  <c r="L269" i="10"/>
  <c r="P306" i="10"/>
  <c r="N267" i="10"/>
  <c r="L267" i="10"/>
  <c r="M267" i="10"/>
  <c r="O267" i="10"/>
  <c r="M265" i="10"/>
  <c r="N265" i="10"/>
  <c r="L265" i="10"/>
  <c r="O265" i="10"/>
  <c r="N251" i="10"/>
  <c r="M251" i="10"/>
  <c r="O251" i="10"/>
  <c r="E253" i="10"/>
  <c r="L251" i="10"/>
  <c r="E252" i="10"/>
  <c r="M266" i="10"/>
  <c r="L266" i="10"/>
  <c r="N266" i="10"/>
  <c r="O266" i="10"/>
  <c r="L243" i="10"/>
  <c r="M243" i="10"/>
  <c r="N243" i="10"/>
  <c r="O243" i="10"/>
  <c r="P235" i="10"/>
  <c r="P145" i="9"/>
  <c r="P71" i="9"/>
  <c r="P70" i="9"/>
  <c r="P143" i="9"/>
  <c r="P54" i="15" l="1"/>
  <c r="P227" i="10"/>
  <c r="L290" i="10"/>
  <c r="M290" i="10"/>
  <c r="N289" i="10"/>
  <c r="P115" i="10"/>
  <c r="L289" i="10"/>
  <c r="P228" i="10"/>
  <c r="P284" i="10"/>
  <c r="P38" i="15"/>
  <c r="P55" i="15"/>
  <c r="P39" i="15"/>
  <c r="P41" i="15"/>
  <c r="P67" i="15"/>
  <c r="M88" i="15"/>
  <c r="P40" i="15"/>
  <c r="N88" i="15"/>
  <c r="L88" i="15"/>
  <c r="O88" i="15"/>
  <c r="N290" i="10"/>
  <c r="P290" i="10" s="1"/>
  <c r="P288" i="10"/>
  <c r="O289" i="10"/>
  <c r="P286" i="10"/>
  <c r="P114" i="10"/>
  <c r="P243" i="10"/>
  <c r="P251" i="10"/>
  <c r="P266" i="10"/>
  <c r="O270" i="10"/>
  <c r="M270" i="10"/>
  <c r="L270" i="10"/>
  <c r="N270" i="10"/>
  <c r="P265" i="10"/>
  <c r="O271" i="10"/>
  <c r="N271" i="10"/>
  <c r="M271" i="10"/>
  <c r="L271" i="10"/>
  <c r="N252" i="10"/>
  <c r="M252" i="10"/>
  <c r="L252" i="10"/>
  <c r="O252" i="10"/>
  <c r="P242" i="10"/>
  <c r="P269" i="10"/>
  <c r="N253" i="10"/>
  <c r="M253" i="10"/>
  <c r="O253" i="10"/>
  <c r="L253" i="10"/>
  <c r="P267" i="10"/>
  <c r="P244" i="10"/>
  <c r="P88" i="15" l="1"/>
  <c r="E23" i="2" s="1"/>
  <c r="P289" i="10"/>
  <c r="P253" i="10"/>
  <c r="P271" i="10"/>
  <c r="P252" i="10"/>
  <c r="P270" i="10"/>
  <c r="N9" i="15" l="1"/>
  <c r="E218" i="8"/>
  <c r="O218" i="8" s="1"/>
  <c r="M218" i="8"/>
  <c r="K218" i="8"/>
  <c r="E209" i="8"/>
  <c r="E198" i="8"/>
  <c r="E185" i="8"/>
  <c r="E173" i="8"/>
  <c r="E172" i="8"/>
  <c r="E157" i="8"/>
  <c r="L157" i="8" s="1"/>
  <c r="E141" i="8"/>
  <c r="N135" i="8"/>
  <c r="L135" i="8"/>
  <c r="H135" i="8"/>
  <c r="M135" i="8" s="1"/>
  <c r="H120" i="8"/>
  <c r="E110" i="8"/>
  <c r="O110" i="8" s="1"/>
  <c r="E111" i="8"/>
  <c r="N111" i="8" s="1"/>
  <c r="E100" i="8"/>
  <c r="E101" i="8" s="1"/>
  <c r="N35" i="8"/>
  <c r="E30" i="8"/>
  <c r="K25" i="8"/>
  <c r="N324" i="8"/>
  <c r="L324" i="8"/>
  <c r="H324" i="8"/>
  <c r="M324" i="8" s="1"/>
  <c r="N323" i="8"/>
  <c r="L323" i="8"/>
  <c r="H323" i="8"/>
  <c r="M323" i="8" s="1"/>
  <c r="N322" i="8"/>
  <c r="L322" i="8"/>
  <c r="H322" i="8"/>
  <c r="O322" i="8" s="1"/>
  <c r="N321" i="8"/>
  <c r="L321" i="8"/>
  <c r="H321" i="8"/>
  <c r="N320" i="8"/>
  <c r="L320" i="8"/>
  <c r="H320" i="8"/>
  <c r="M320" i="8" s="1"/>
  <c r="N319" i="8"/>
  <c r="L319" i="8"/>
  <c r="H319" i="8"/>
  <c r="O319" i="8" s="1"/>
  <c r="N318" i="8"/>
  <c r="L318" i="8"/>
  <c r="H318" i="8"/>
  <c r="O318" i="8" s="1"/>
  <c r="N317" i="8"/>
  <c r="L317" i="8"/>
  <c r="H317" i="8"/>
  <c r="M317" i="8" s="1"/>
  <c r="L316" i="8"/>
  <c r="N316" i="8"/>
  <c r="H316" i="8"/>
  <c r="N314" i="8"/>
  <c r="L314" i="8"/>
  <c r="H314" i="8"/>
  <c r="K314" i="8" s="1"/>
  <c r="O313" i="8"/>
  <c r="N313" i="8"/>
  <c r="L313" i="8"/>
  <c r="H313" i="8"/>
  <c r="H312" i="8"/>
  <c r="E312" i="8"/>
  <c r="N312" i="8" s="1"/>
  <c r="L311" i="8"/>
  <c r="N311" i="8"/>
  <c r="H311" i="8"/>
  <c r="M311" i="8" s="1"/>
  <c r="N310" i="8"/>
  <c r="L310" i="8"/>
  <c r="H310" i="8"/>
  <c r="L309" i="8"/>
  <c r="N309" i="8"/>
  <c r="H309" i="8"/>
  <c r="O309" i="8" s="1"/>
  <c r="N306" i="8"/>
  <c r="L306" i="8"/>
  <c r="H306" i="8"/>
  <c r="N305" i="8"/>
  <c r="L305" i="8"/>
  <c r="H305" i="8"/>
  <c r="M305" i="8" s="1"/>
  <c r="N304" i="8"/>
  <c r="L304" i="8"/>
  <c r="H304" i="8"/>
  <c r="M304" i="8" s="1"/>
  <c r="N303" i="8"/>
  <c r="L303" i="8"/>
  <c r="H303" i="8"/>
  <c r="N302" i="8"/>
  <c r="L302" i="8"/>
  <c r="H302" i="8"/>
  <c r="E301" i="8"/>
  <c r="M301" i="8" s="1"/>
  <c r="E300" i="8"/>
  <c r="N299" i="8"/>
  <c r="L299" i="8"/>
  <c r="H299" i="8"/>
  <c r="M299" i="8" s="1"/>
  <c r="N297" i="8"/>
  <c r="L297" i="8"/>
  <c r="H297" i="8"/>
  <c r="M297" i="8" s="1"/>
  <c r="N296" i="8"/>
  <c r="L296" i="8"/>
  <c r="H296" i="8"/>
  <c r="O296" i="8" s="1"/>
  <c r="N295" i="8"/>
  <c r="L295" i="8"/>
  <c r="H295" i="8"/>
  <c r="K294" i="8"/>
  <c r="H292" i="8"/>
  <c r="E292" i="8"/>
  <c r="N292" i="8" s="1"/>
  <c r="O291" i="8"/>
  <c r="N291" i="8"/>
  <c r="M291" i="8"/>
  <c r="L291" i="8"/>
  <c r="K291" i="8"/>
  <c r="K290" i="8"/>
  <c r="K289" i="8"/>
  <c r="H287" i="8"/>
  <c r="E287" i="8"/>
  <c r="L287" i="8" s="1"/>
  <c r="K286" i="8"/>
  <c r="E286" i="8"/>
  <c r="O286" i="8" s="1"/>
  <c r="K285" i="8"/>
  <c r="E285" i="8"/>
  <c r="O285" i="8" s="1"/>
  <c r="K284" i="8"/>
  <c r="E283" i="8"/>
  <c r="E284" i="8" s="1"/>
  <c r="N284" i="8" s="1"/>
  <c r="E282" i="8"/>
  <c r="K281" i="8"/>
  <c r="E281" i="8"/>
  <c r="M281" i="8" s="1"/>
  <c r="N280" i="8"/>
  <c r="L280" i="8"/>
  <c r="H280" i="8"/>
  <c r="M280" i="8" s="1"/>
  <c r="K279" i="8"/>
  <c r="E279" i="8"/>
  <c r="K278" i="8"/>
  <c r="E278" i="8"/>
  <c r="N277" i="8"/>
  <c r="L277" i="8"/>
  <c r="H277" i="8"/>
  <c r="K275" i="8"/>
  <c r="H273" i="8"/>
  <c r="O272" i="8"/>
  <c r="N272" i="8"/>
  <c r="M272" i="8"/>
  <c r="L272" i="8"/>
  <c r="K272" i="8"/>
  <c r="K271" i="8"/>
  <c r="K270" i="8"/>
  <c r="H268" i="8"/>
  <c r="K267" i="8"/>
  <c r="E267" i="8"/>
  <c r="M267" i="8" s="1"/>
  <c r="K266" i="8"/>
  <c r="E266" i="8"/>
  <c r="O266" i="8" s="1"/>
  <c r="K265" i="8"/>
  <c r="K264" i="8"/>
  <c r="E264" i="8"/>
  <c r="O264" i="8" s="1"/>
  <c r="K263" i="8"/>
  <c r="K262" i="8"/>
  <c r="H261" i="8"/>
  <c r="K261" i="8" s="1"/>
  <c r="E261" i="8"/>
  <c r="E263" i="8" s="1"/>
  <c r="K260" i="8"/>
  <c r="E260" i="8"/>
  <c r="O260" i="8" s="1"/>
  <c r="K259" i="8"/>
  <c r="E259" i="8"/>
  <c r="N259" i="8" s="1"/>
  <c r="N258" i="8"/>
  <c r="L258" i="8"/>
  <c r="H258" i="8"/>
  <c r="M258" i="8" s="1"/>
  <c r="N255" i="8"/>
  <c r="L255" i="8"/>
  <c r="H255" i="8"/>
  <c r="N254" i="8"/>
  <c r="L254" i="8"/>
  <c r="H254" i="8"/>
  <c r="M254" i="8" s="1"/>
  <c r="N253" i="8"/>
  <c r="L253" i="8"/>
  <c r="H253" i="8"/>
  <c r="M253" i="8" s="1"/>
  <c r="K251" i="8"/>
  <c r="E251" i="8"/>
  <c r="K250" i="8"/>
  <c r="E250" i="8"/>
  <c r="M250" i="8" s="1"/>
  <c r="K249" i="8"/>
  <c r="E249" i="8"/>
  <c r="N248" i="8"/>
  <c r="L248" i="8"/>
  <c r="H248" i="8"/>
  <c r="K247" i="8"/>
  <c r="E247" i="8"/>
  <c r="K246" i="8"/>
  <c r="K245" i="8"/>
  <c r="E245" i="8"/>
  <c r="O245" i="8" s="1"/>
  <c r="K244" i="8"/>
  <c r="E244" i="8"/>
  <c r="N244" i="8" s="1"/>
  <c r="N243" i="8"/>
  <c r="L243" i="8"/>
  <c r="H243" i="8"/>
  <c r="N242" i="8"/>
  <c r="L242" i="8"/>
  <c r="H242" i="8"/>
  <c r="M242" i="8" s="1"/>
  <c r="E241" i="8"/>
  <c r="M241" i="8" s="1"/>
  <c r="E240" i="8"/>
  <c r="L240" i="8" s="1"/>
  <c r="N239" i="8"/>
  <c r="L239" i="8"/>
  <c r="H239" i="8"/>
  <c r="M239" i="8" s="1"/>
  <c r="N238" i="8"/>
  <c r="L238" i="8"/>
  <c r="H238" i="8"/>
  <c r="M238" i="8" s="1"/>
  <c r="N237" i="8"/>
  <c r="L237" i="8"/>
  <c r="H237" i="8"/>
  <c r="N236" i="8"/>
  <c r="L236" i="8"/>
  <c r="H236" i="8"/>
  <c r="M236" i="8" s="1"/>
  <c r="K233" i="8"/>
  <c r="E233" i="8"/>
  <c r="O233" i="8" s="1"/>
  <c r="K232" i="8"/>
  <c r="K231" i="8"/>
  <c r="E231" i="8"/>
  <c r="E232" i="8" s="1"/>
  <c r="K230" i="8"/>
  <c r="E230" i="8"/>
  <c r="M230" i="8" s="1"/>
  <c r="N229" i="8"/>
  <c r="L229" i="8"/>
  <c r="H229" i="8"/>
  <c r="O228" i="8"/>
  <c r="N228" i="8"/>
  <c r="L228" i="8"/>
  <c r="H228" i="8"/>
  <c r="M228" i="8" s="1"/>
  <c r="N227" i="8"/>
  <c r="L227" i="8"/>
  <c r="H227" i="8"/>
  <c r="O227" i="8" s="1"/>
  <c r="L226" i="8"/>
  <c r="N226" i="8"/>
  <c r="H226" i="8"/>
  <c r="M226" i="8" s="1"/>
  <c r="L224" i="8"/>
  <c r="N224" i="8"/>
  <c r="H224" i="8"/>
  <c r="N223" i="8"/>
  <c r="L223" i="8"/>
  <c r="H223" i="8"/>
  <c r="K223" i="8" s="1"/>
  <c r="N222" i="8"/>
  <c r="L222" i="8"/>
  <c r="H222" i="8"/>
  <c r="K221" i="8"/>
  <c r="E221" i="8"/>
  <c r="M221" i="8" s="1"/>
  <c r="K220" i="8"/>
  <c r="E220" i="8"/>
  <c r="O220" i="8" s="1"/>
  <c r="K219" i="8"/>
  <c r="E219" i="8"/>
  <c r="L219" i="8" s="1"/>
  <c r="K217" i="8"/>
  <c r="E217" i="8"/>
  <c r="O217" i="8" s="1"/>
  <c r="K216" i="8"/>
  <c r="E216" i="8"/>
  <c r="O216" i="8" s="1"/>
  <c r="K215" i="8"/>
  <c r="E215" i="8"/>
  <c r="L215" i="8" s="1"/>
  <c r="K214" i="8"/>
  <c r="E214" i="8"/>
  <c r="N213" i="8"/>
  <c r="L213" i="8"/>
  <c r="H213" i="8"/>
  <c r="O213" i="8" s="1"/>
  <c r="K212" i="8"/>
  <c r="K211" i="8"/>
  <c r="K210" i="8"/>
  <c r="H209" i="8"/>
  <c r="E211" i="8"/>
  <c r="M211" i="8" s="1"/>
  <c r="K208" i="8"/>
  <c r="O207" i="8"/>
  <c r="N207" i="8"/>
  <c r="M207" i="8"/>
  <c r="L207" i="8"/>
  <c r="K207" i="8"/>
  <c r="K206" i="8"/>
  <c r="K205" i="8"/>
  <c r="E205" i="8"/>
  <c r="O205" i="8" s="1"/>
  <c r="K204" i="8"/>
  <c r="K203" i="8"/>
  <c r="H202" i="8"/>
  <c r="E202" i="8"/>
  <c r="E204" i="8" s="1"/>
  <c r="N201" i="8"/>
  <c r="L201" i="8"/>
  <c r="H201" i="8"/>
  <c r="O201" i="8" s="1"/>
  <c r="K199" i="8"/>
  <c r="E199" i="8"/>
  <c r="K198" i="8"/>
  <c r="K197" i="8"/>
  <c r="E197" i="8"/>
  <c r="O197" i="8" s="1"/>
  <c r="K196" i="8"/>
  <c r="E196" i="8"/>
  <c r="N195" i="8"/>
  <c r="L195" i="8"/>
  <c r="H195" i="8"/>
  <c r="K194" i="8"/>
  <c r="O193" i="8"/>
  <c r="N193" i="8"/>
  <c r="M193" i="8"/>
  <c r="L193" i="8"/>
  <c r="K193" i="8"/>
  <c r="K192" i="8"/>
  <c r="K191" i="8"/>
  <c r="E191" i="8"/>
  <c r="K190" i="8"/>
  <c r="K189" i="8"/>
  <c r="H188" i="8"/>
  <c r="E188" i="8"/>
  <c r="K186" i="8"/>
  <c r="E186" i="8"/>
  <c r="O186" i="8" s="1"/>
  <c r="K185" i="8"/>
  <c r="K184" i="8"/>
  <c r="E184" i="8"/>
  <c r="M184" i="8" s="1"/>
  <c r="K183" i="8"/>
  <c r="E183" i="8"/>
  <c r="N182" i="8"/>
  <c r="L182" i="8"/>
  <c r="H182" i="8"/>
  <c r="K181" i="8"/>
  <c r="O180" i="8"/>
  <c r="N180" i="8"/>
  <c r="M180" i="8"/>
  <c r="L180" i="8"/>
  <c r="K180" i="8"/>
  <c r="K179" i="8"/>
  <c r="K178" i="8"/>
  <c r="E178" i="8"/>
  <c r="O178" i="8" s="1"/>
  <c r="K177" i="8"/>
  <c r="K176" i="8"/>
  <c r="H175" i="8"/>
  <c r="E175" i="8"/>
  <c r="K173" i="8"/>
  <c r="K172" i="8"/>
  <c r="K171" i="8"/>
  <c r="E171" i="8"/>
  <c r="N171" i="8" s="1"/>
  <c r="K170" i="8"/>
  <c r="E170" i="8"/>
  <c r="L170" i="8" s="1"/>
  <c r="N169" i="8"/>
  <c r="L169" i="8"/>
  <c r="H169" i="8"/>
  <c r="M169" i="8" s="1"/>
  <c r="K168" i="8"/>
  <c r="O167" i="8"/>
  <c r="N167" i="8"/>
  <c r="M167" i="8"/>
  <c r="L167" i="8"/>
  <c r="K167" i="8"/>
  <c r="K166" i="8"/>
  <c r="K165" i="8"/>
  <c r="E165" i="8"/>
  <c r="N165" i="8" s="1"/>
  <c r="K164" i="8"/>
  <c r="K163" i="8"/>
  <c r="H162" i="8"/>
  <c r="E162" i="8"/>
  <c r="N162" i="8" s="1"/>
  <c r="K160" i="8"/>
  <c r="K159" i="8"/>
  <c r="K158" i="8"/>
  <c r="K157" i="8"/>
  <c r="K156" i="8"/>
  <c r="K155" i="8"/>
  <c r="K154" i="8"/>
  <c r="H153" i="8"/>
  <c r="E153" i="8"/>
  <c r="E159" i="8" s="1"/>
  <c r="O159" i="8" s="1"/>
  <c r="K152" i="8"/>
  <c r="K151" i="8"/>
  <c r="H150" i="8"/>
  <c r="E150" i="8"/>
  <c r="N149" i="8"/>
  <c r="L149" i="8"/>
  <c r="H149" i="8"/>
  <c r="K147" i="8"/>
  <c r="K146" i="8"/>
  <c r="K145" i="8"/>
  <c r="K144" i="8"/>
  <c r="K143" i="8"/>
  <c r="K142" i="8"/>
  <c r="H141" i="8"/>
  <c r="K140" i="8"/>
  <c r="K139" i="8"/>
  <c r="H138" i="8"/>
  <c r="E138" i="8"/>
  <c r="N137" i="8"/>
  <c r="L137" i="8"/>
  <c r="H137" i="8"/>
  <c r="O134" i="8"/>
  <c r="N134" i="8"/>
  <c r="L134" i="8"/>
  <c r="H134" i="8"/>
  <c r="K134" i="8" s="1"/>
  <c r="O133" i="8"/>
  <c r="N133" i="8"/>
  <c r="L133" i="8"/>
  <c r="H133" i="8"/>
  <c r="K133" i="8" s="1"/>
  <c r="N132" i="8"/>
  <c r="L132" i="8"/>
  <c r="H132" i="8"/>
  <c r="M132" i="8" s="1"/>
  <c r="N131" i="8"/>
  <c r="L131" i="8"/>
  <c r="H131" i="8"/>
  <c r="M131" i="8" s="1"/>
  <c r="O130" i="8"/>
  <c r="N130" i="8"/>
  <c r="L130" i="8"/>
  <c r="H130" i="8"/>
  <c r="O129" i="8"/>
  <c r="N129" i="8"/>
  <c r="L129" i="8"/>
  <c r="H129" i="8"/>
  <c r="M129" i="8" s="1"/>
  <c r="N128" i="8"/>
  <c r="L128" i="8"/>
  <c r="H128" i="8"/>
  <c r="M128" i="8" s="1"/>
  <c r="N127" i="8"/>
  <c r="L127" i="8"/>
  <c r="H127" i="8"/>
  <c r="O127" i="8" s="1"/>
  <c r="K126" i="8"/>
  <c r="K125" i="8"/>
  <c r="K124" i="8"/>
  <c r="H123" i="8"/>
  <c r="K122" i="8"/>
  <c r="K121" i="8"/>
  <c r="E120" i="8"/>
  <c r="E122" i="8" s="1"/>
  <c r="O122" i="8" s="1"/>
  <c r="K119" i="8"/>
  <c r="E119" i="8"/>
  <c r="O119" i="8" s="1"/>
  <c r="K118" i="8"/>
  <c r="E118" i="8"/>
  <c r="N117" i="8"/>
  <c r="L117" i="8"/>
  <c r="H117" i="8"/>
  <c r="O117" i="8" s="1"/>
  <c r="N116" i="8"/>
  <c r="L116" i="8"/>
  <c r="H116" i="8"/>
  <c r="M116" i="8" s="1"/>
  <c r="K114" i="8"/>
  <c r="K113" i="8"/>
  <c r="H112" i="8"/>
  <c r="E112" i="8"/>
  <c r="N112" i="8" s="1"/>
  <c r="K111" i="8"/>
  <c r="K110" i="8"/>
  <c r="K109" i="8"/>
  <c r="E109" i="8"/>
  <c r="O109" i="8" s="1"/>
  <c r="E108" i="8"/>
  <c r="K107" i="8"/>
  <c r="E107" i="8"/>
  <c r="M107" i="8" s="1"/>
  <c r="N106" i="8"/>
  <c r="L106" i="8"/>
  <c r="H106" i="8"/>
  <c r="M106" i="8" s="1"/>
  <c r="K105" i="8"/>
  <c r="E105" i="8"/>
  <c r="K104" i="8"/>
  <c r="K103" i="8"/>
  <c r="E103" i="8"/>
  <c r="O103" i="8" s="1"/>
  <c r="K102" i="8"/>
  <c r="K101" i="8"/>
  <c r="H100" i="8"/>
  <c r="K99" i="8"/>
  <c r="E99" i="8"/>
  <c r="O99" i="8" s="1"/>
  <c r="K98" i="8"/>
  <c r="E98" i="8"/>
  <c r="N98" i="8" s="1"/>
  <c r="N97" i="8"/>
  <c r="L97" i="8"/>
  <c r="H97" i="8"/>
  <c r="M97" i="8" s="1"/>
  <c r="N95" i="8"/>
  <c r="L95" i="8"/>
  <c r="H95" i="8"/>
  <c r="M95" i="8" s="1"/>
  <c r="E93" i="8"/>
  <c r="M93" i="8" s="1"/>
  <c r="E92" i="8"/>
  <c r="N91" i="8"/>
  <c r="L91" i="8"/>
  <c r="H91" i="8"/>
  <c r="M91" i="8" s="1"/>
  <c r="E90" i="8"/>
  <c r="K89" i="8"/>
  <c r="K88" i="8"/>
  <c r="K87" i="8"/>
  <c r="H86" i="8"/>
  <c r="K86" i="8" s="1"/>
  <c r="K85" i="8"/>
  <c r="K84" i="8"/>
  <c r="K83" i="8"/>
  <c r="K82" i="8"/>
  <c r="H81" i="8"/>
  <c r="K80" i="8"/>
  <c r="K79" i="8"/>
  <c r="H78" i="8"/>
  <c r="E78" i="8"/>
  <c r="E80" i="8" s="1"/>
  <c r="N80" i="8" s="1"/>
  <c r="H77" i="8"/>
  <c r="K77" i="8" s="1"/>
  <c r="E77" i="8"/>
  <c r="N76" i="8"/>
  <c r="L76" i="8"/>
  <c r="H76" i="8"/>
  <c r="O76" i="8" s="1"/>
  <c r="N75" i="8"/>
  <c r="L75" i="8"/>
  <c r="H75" i="8"/>
  <c r="K73" i="8"/>
  <c r="E73" i="8"/>
  <c r="O73" i="8" s="1"/>
  <c r="K72" i="8"/>
  <c r="E72" i="8"/>
  <c r="M72" i="8" s="1"/>
  <c r="N71" i="8"/>
  <c r="L71" i="8"/>
  <c r="H71" i="8"/>
  <c r="K70" i="8"/>
  <c r="E70" i="8"/>
  <c r="M70" i="8" s="1"/>
  <c r="K69" i="8"/>
  <c r="K68" i="8"/>
  <c r="K67" i="8"/>
  <c r="H66" i="8"/>
  <c r="K66" i="8" s="1"/>
  <c r="K65" i="8"/>
  <c r="K64" i="8"/>
  <c r="K63" i="8"/>
  <c r="K62" i="8"/>
  <c r="H61" i="8"/>
  <c r="K60" i="8"/>
  <c r="K59" i="8"/>
  <c r="H58" i="8"/>
  <c r="E58" i="8"/>
  <c r="N58" i="8" s="1"/>
  <c r="H57" i="8"/>
  <c r="E57" i="8"/>
  <c r="N56" i="8"/>
  <c r="L56" i="8"/>
  <c r="H56" i="8"/>
  <c r="N55" i="8"/>
  <c r="L55" i="8"/>
  <c r="H55" i="8"/>
  <c r="K53" i="8"/>
  <c r="E53" i="8"/>
  <c r="O53" i="8" s="1"/>
  <c r="K52" i="8"/>
  <c r="E52" i="8"/>
  <c r="N51" i="8"/>
  <c r="L51" i="8"/>
  <c r="H51" i="8"/>
  <c r="M51" i="8" s="1"/>
  <c r="K50" i="8"/>
  <c r="E50" i="8"/>
  <c r="L50" i="8" s="1"/>
  <c r="K49" i="8"/>
  <c r="K48" i="8"/>
  <c r="K47" i="8"/>
  <c r="H46" i="8"/>
  <c r="K45" i="8"/>
  <c r="K44" i="8"/>
  <c r="K43" i="8"/>
  <c r="K42" i="8"/>
  <c r="H41" i="8"/>
  <c r="K40" i="8"/>
  <c r="K39" i="8"/>
  <c r="H38" i="8"/>
  <c r="E38" i="8"/>
  <c r="E40" i="8" s="1"/>
  <c r="M40" i="8" s="1"/>
  <c r="H37" i="8"/>
  <c r="E37" i="8"/>
  <c r="L37" i="8" s="1"/>
  <c r="N36" i="8"/>
  <c r="L36" i="8"/>
  <c r="H36" i="8"/>
  <c r="H35" i="8"/>
  <c r="K33" i="8"/>
  <c r="E33" i="8"/>
  <c r="M33" i="8" s="1"/>
  <c r="K32" i="8"/>
  <c r="E32" i="8"/>
  <c r="N31" i="8"/>
  <c r="L31" i="8"/>
  <c r="H31" i="8"/>
  <c r="M31" i="8" s="1"/>
  <c r="K30" i="8"/>
  <c r="K29" i="8"/>
  <c r="K28" i="8"/>
  <c r="K27" i="8"/>
  <c r="H26" i="8"/>
  <c r="K26" i="8" s="1"/>
  <c r="K24" i="8"/>
  <c r="K23" i="8"/>
  <c r="K22" i="8"/>
  <c r="H21" i="8"/>
  <c r="K20" i="8"/>
  <c r="K19" i="8"/>
  <c r="H18" i="8"/>
  <c r="E18" i="8"/>
  <c r="H17" i="8"/>
  <c r="E17" i="8"/>
  <c r="L17" i="8" s="1"/>
  <c r="N16" i="8"/>
  <c r="L16" i="8"/>
  <c r="H16" i="8"/>
  <c r="N15" i="8"/>
  <c r="L15" i="8"/>
  <c r="H15" i="8"/>
  <c r="M15" i="8" s="1"/>
  <c r="L218" i="8" l="1"/>
  <c r="N218" i="8"/>
  <c r="P218" i="8" s="1"/>
  <c r="E203" i="8"/>
  <c r="E212" i="8"/>
  <c r="O165" i="8"/>
  <c r="M76" i="8"/>
  <c r="P76" i="8" s="1"/>
  <c r="O259" i="8"/>
  <c r="E81" i="8"/>
  <c r="E82" i="8" s="1"/>
  <c r="M77" i="8"/>
  <c r="L111" i="8"/>
  <c r="O239" i="8"/>
  <c r="P239" i="8" s="1"/>
  <c r="O98" i="8"/>
  <c r="M111" i="8"/>
  <c r="L165" i="8"/>
  <c r="K18" i="8"/>
  <c r="E61" i="8"/>
  <c r="E62" i="8" s="1"/>
  <c r="M62" i="8" s="1"/>
  <c r="M165" i="8"/>
  <c r="O284" i="8"/>
  <c r="E60" i="8"/>
  <c r="N60" i="8" s="1"/>
  <c r="M57" i="8"/>
  <c r="N73" i="8"/>
  <c r="M73" i="8"/>
  <c r="E79" i="8"/>
  <c r="M79" i="8" s="1"/>
  <c r="M127" i="8"/>
  <c r="P127" i="8" s="1"/>
  <c r="O312" i="8"/>
  <c r="N37" i="8"/>
  <c r="M78" i="8"/>
  <c r="N109" i="8"/>
  <c r="L120" i="8"/>
  <c r="L209" i="8"/>
  <c r="K213" i="8"/>
  <c r="M229" i="8"/>
  <c r="M310" i="8"/>
  <c r="E155" i="8"/>
  <c r="L109" i="8"/>
  <c r="M109" i="8"/>
  <c r="O120" i="8"/>
  <c r="O297" i="8"/>
  <c r="P297" i="8" s="1"/>
  <c r="O35" i="8"/>
  <c r="L58" i="8"/>
  <c r="L78" i="8"/>
  <c r="M120" i="8"/>
  <c r="L197" i="8"/>
  <c r="N209" i="8"/>
  <c r="M314" i="8"/>
  <c r="O258" i="8"/>
  <c r="P258" i="8" s="1"/>
  <c r="N78" i="8"/>
  <c r="N120" i="8"/>
  <c r="M197" i="8"/>
  <c r="E210" i="8"/>
  <c r="M210" i="8" s="1"/>
  <c r="M213" i="8"/>
  <c r="P213" i="8" s="1"/>
  <c r="E164" i="8"/>
  <c r="O135" i="8"/>
  <c r="P135" i="8" s="1"/>
  <c r="K228" i="8"/>
  <c r="M134" i="8"/>
  <c r="P134" i="8" s="1"/>
  <c r="L162" i="8"/>
  <c r="E168" i="8"/>
  <c r="N168" i="8" s="1"/>
  <c r="L301" i="8"/>
  <c r="O107" i="8"/>
  <c r="E113" i="8"/>
  <c r="K240" i="8"/>
  <c r="N267" i="8"/>
  <c r="M283" i="8"/>
  <c r="L33" i="8"/>
  <c r="K106" i="8"/>
  <c r="N119" i="8"/>
  <c r="E121" i="8"/>
  <c r="M121" i="8" s="1"/>
  <c r="M133" i="8"/>
  <c r="P133" i="8" s="1"/>
  <c r="K169" i="8"/>
  <c r="L186" i="8"/>
  <c r="N221" i="8"/>
  <c r="O230" i="8"/>
  <c r="N240" i="8"/>
  <c r="O253" i="8"/>
  <c r="P253" i="8" s="1"/>
  <c r="L259" i="8"/>
  <c r="N260" i="8"/>
  <c r="M264" i="8"/>
  <c r="O267" i="8"/>
  <c r="O283" i="8"/>
  <c r="N285" i="8"/>
  <c r="M35" i="8"/>
  <c r="O162" i="8"/>
  <c r="N283" i="8"/>
  <c r="K301" i="8"/>
  <c r="L72" i="8"/>
  <c r="L93" i="8"/>
  <c r="N107" i="8"/>
  <c r="L119" i="8"/>
  <c r="N170" i="8"/>
  <c r="N216" i="8"/>
  <c r="L260" i="8"/>
  <c r="L283" i="8"/>
  <c r="E39" i="8"/>
  <c r="M39" i="8" s="1"/>
  <c r="M53" i="8"/>
  <c r="O93" i="8"/>
  <c r="M119" i="8"/>
  <c r="N157" i="8"/>
  <c r="M223" i="8"/>
  <c r="M260" i="8"/>
  <c r="E289" i="8"/>
  <c r="L289" i="8" s="1"/>
  <c r="K46" i="8"/>
  <c r="K61" i="8"/>
  <c r="K76" i="8"/>
  <c r="L80" i="8"/>
  <c r="L98" i="8"/>
  <c r="M171" i="8"/>
  <c r="M186" i="8"/>
  <c r="M209" i="8"/>
  <c r="N217" i="8"/>
  <c r="O221" i="8"/>
  <c r="O223" i="8"/>
  <c r="O240" i="8"/>
  <c r="N245" i="8"/>
  <c r="M259" i="8"/>
  <c r="E265" i="8"/>
  <c r="O265" i="8" s="1"/>
  <c r="O281" i="8"/>
  <c r="O97" i="8"/>
  <c r="P97" i="8" s="1"/>
  <c r="N38" i="8"/>
  <c r="L53" i="8"/>
  <c r="O244" i="8"/>
  <c r="L285" i="8"/>
  <c r="N230" i="8"/>
  <c r="L264" i="8"/>
  <c r="M285" i="8"/>
  <c r="M98" i="8"/>
  <c r="M284" i="8"/>
  <c r="M105" i="8"/>
  <c r="O105" i="8"/>
  <c r="N105" i="8"/>
  <c r="N191" i="8"/>
  <c r="O191" i="8"/>
  <c r="N199" i="8"/>
  <c r="M199" i="8"/>
  <c r="L199" i="8"/>
  <c r="O37" i="8"/>
  <c r="M282" i="8"/>
  <c r="O282" i="8"/>
  <c r="O316" i="8"/>
  <c r="M316" i="8"/>
  <c r="O32" i="8"/>
  <c r="N32" i="8"/>
  <c r="M32" i="8"/>
  <c r="L32" i="8"/>
  <c r="L105" i="8"/>
  <c r="E20" i="8"/>
  <c r="N20" i="8" s="1"/>
  <c r="E21" i="8"/>
  <c r="E25" i="8" s="1"/>
  <c r="O36" i="8"/>
  <c r="M36" i="8"/>
  <c r="N53" i="8"/>
  <c r="M162" i="8"/>
  <c r="O30" i="8"/>
  <c r="N30" i="8"/>
  <c r="L30" i="8"/>
  <c r="M30" i="8"/>
  <c r="O33" i="8"/>
  <c r="N33" i="8"/>
  <c r="L153" i="8"/>
  <c r="K188" i="8"/>
  <c r="O196" i="8"/>
  <c r="L196" i="8"/>
  <c r="N220" i="8"/>
  <c r="M251" i="8"/>
  <c r="O251" i="8"/>
  <c r="N251" i="8"/>
  <c r="L251" i="8"/>
  <c r="N264" i="8"/>
  <c r="N300" i="8"/>
  <c r="M237" i="8"/>
  <c r="O237" i="8"/>
  <c r="M249" i="8"/>
  <c r="L249" i="8"/>
  <c r="M182" i="8"/>
  <c r="O182" i="8"/>
  <c r="N184" i="8"/>
  <c r="E190" i="8"/>
  <c r="M190" i="8" s="1"/>
  <c r="E194" i="8"/>
  <c r="M194" i="8" s="1"/>
  <c r="E189" i="8"/>
  <c r="L189" i="8" s="1"/>
  <c r="L188" i="8"/>
  <c r="O199" i="8"/>
  <c r="M92" i="8"/>
  <c r="O92" i="8"/>
  <c r="N92" i="8"/>
  <c r="L92" i="8"/>
  <c r="E176" i="8"/>
  <c r="O176" i="8" s="1"/>
  <c r="E177" i="8"/>
  <c r="N177" i="8" s="1"/>
  <c r="M175" i="8"/>
  <c r="N175" i="8"/>
  <c r="L282" i="8"/>
  <c r="M295" i="8"/>
  <c r="O295" i="8"/>
  <c r="L300" i="8"/>
  <c r="M300" i="8"/>
  <c r="O52" i="8"/>
  <c r="N52" i="8"/>
  <c r="M52" i="8"/>
  <c r="L52" i="8"/>
  <c r="O71" i="8"/>
  <c r="M71" i="8"/>
  <c r="M90" i="8"/>
  <c r="L90" i="8"/>
  <c r="O90" i="8"/>
  <c r="L108" i="8"/>
  <c r="O108" i="8"/>
  <c r="M108" i="8"/>
  <c r="M122" i="8"/>
  <c r="E152" i="8"/>
  <c r="N152" i="8" s="1"/>
  <c r="N150" i="8"/>
  <c r="O183" i="8"/>
  <c r="N183" i="8"/>
  <c r="L183" i="8"/>
  <c r="M183" i="8"/>
  <c r="O231" i="8"/>
  <c r="N231" i="8"/>
  <c r="M231" i="8"/>
  <c r="L231" i="8"/>
  <c r="E146" i="8"/>
  <c r="M146" i="8" s="1"/>
  <c r="E142" i="8"/>
  <c r="N142" i="8" s="1"/>
  <c r="N141" i="8"/>
  <c r="M141" i="8"/>
  <c r="M255" i="8"/>
  <c r="M296" i="8"/>
  <c r="P296" i="8" s="1"/>
  <c r="K296" i="8"/>
  <c r="E147" i="8"/>
  <c r="M147" i="8" s="1"/>
  <c r="O255" i="8"/>
  <c r="L118" i="8"/>
  <c r="O118" i="8"/>
  <c r="N118" i="8"/>
  <c r="K132" i="8"/>
  <c r="L141" i="8"/>
  <c r="E144" i="8"/>
  <c r="O226" i="8"/>
  <c r="P226" i="8" s="1"/>
  <c r="N266" i="8"/>
  <c r="O116" i="8"/>
  <c r="P116" i="8" s="1"/>
  <c r="M138" i="8"/>
  <c r="E140" i="8"/>
  <c r="L140" i="8" s="1"/>
  <c r="L138" i="8"/>
  <c r="N282" i="8"/>
  <c r="K138" i="8"/>
  <c r="M224" i="8"/>
  <c r="O18" i="8"/>
  <c r="O137" i="8"/>
  <c r="M137" i="8"/>
  <c r="E143" i="8"/>
  <c r="O150" i="8"/>
  <c r="P193" i="8"/>
  <c r="O198" i="8"/>
  <c r="O203" i="8"/>
  <c r="N202" i="8"/>
  <c r="M202" i="8"/>
  <c r="K258" i="8"/>
  <c r="P272" i="8"/>
  <c r="L278" i="8"/>
  <c r="M278" i="8"/>
  <c r="K288" i="8"/>
  <c r="K293" i="8"/>
  <c r="P291" i="8"/>
  <c r="K310" i="8"/>
  <c r="O310" i="8"/>
  <c r="M312" i="8"/>
  <c r="L312" i="8"/>
  <c r="E41" i="8"/>
  <c r="E43" i="8" s="1"/>
  <c r="O95" i="8"/>
  <c r="P95" i="8" s="1"/>
  <c r="E114" i="8"/>
  <c r="M114" i="8" s="1"/>
  <c r="K117" i="8"/>
  <c r="E123" i="8"/>
  <c r="M123" i="8" s="1"/>
  <c r="E166" i="8"/>
  <c r="N166" i="8" s="1"/>
  <c r="P167" i="8"/>
  <c r="M185" i="8"/>
  <c r="K309" i="8"/>
  <c r="K312" i="8"/>
  <c r="O320" i="8"/>
  <c r="P320" i="8" s="1"/>
  <c r="O324" i="8"/>
  <c r="P324" i="8" s="1"/>
  <c r="L99" i="8"/>
  <c r="L107" i="8"/>
  <c r="L112" i="8"/>
  <c r="P129" i="8"/>
  <c r="L216" i="8"/>
  <c r="L221" i="8"/>
  <c r="P228" i="8"/>
  <c r="L230" i="8"/>
  <c r="O236" i="8"/>
  <c r="P236" i="8" s="1"/>
  <c r="L281" i="8"/>
  <c r="O299" i="8"/>
  <c r="P299" i="8" s="1"/>
  <c r="M318" i="8"/>
  <c r="P318" i="8" s="1"/>
  <c r="M322" i="8"/>
  <c r="P322" i="8" s="1"/>
  <c r="K318" i="8"/>
  <c r="K322" i="8"/>
  <c r="O15" i="8"/>
  <c r="P15" i="8" s="1"/>
  <c r="L35" i="8"/>
  <c r="M37" i="8"/>
  <c r="L38" i="8"/>
  <c r="O51" i="8"/>
  <c r="P51" i="8" s="1"/>
  <c r="N72" i="8"/>
  <c r="L73" i="8"/>
  <c r="M99" i="8"/>
  <c r="N103" i="8"/>
  <c r="N110" i="8"/>
  <c r="M117" i="8"/>
  <c r="P117" i="8" s="1"/>
  <c r="K120" i="8"/>
  <c r="M216" i="8"/>
  <c r="M219" i="8"/>
  <c r="M240" i="8"/>
  <c r="L267" i="8"/>
  <c r="N281" i="8"/>
  <c r="M309" i="8"/>
  <c r="P309" i="8" s="1"/>
  <c r="K311" i="8"/>
  <c r="N70" i="8"/>
  <c r="O70" i="8"/>
  <c r="L70" i="8"/>
  <c r="M321" i="8"/>
  <c r="O321" i="8"/>
  <c r="N17" i="8"/>
  <c r="M17" i="8"/>
  <c r="N90" i="8"/>
  <c r="K90" i="8"/>
  <c r="N93" i="8"/>
  <c r="K93" i="8"/>
  <c r="K150" i="8"/>
  <c r="O222" i="8"/>
  <c r="M222" i="8"/>
  <c r="O17" i="8"/>
  <c r="K35" i="8"/>
  <c r="L40" i="8"/>
  <c r="O40" i="8"/>
  <c r="N40" i="8"/>
  <c r="N100" i="8"/>
  <c r="E102" i="8"/>
  <c r="O100" i="8"/>
  <c r="M100" i="8"/>
  <c r="L100" i="8"/>
  <c r="N214" i="8"/>
  <c r="O214" i="8"/>
  <c r="L214" i="8"/>
  <c r="M214" i="8"/>
  <c r="O302" i="8"/>
  <c r="M302" i="8"/>
  <c r="O58" i="8"/>
  <c r="K58" i="8"/>
  <c r="O38" i="8"/>
  <c r="O16" i="8"/>
  <c r="K130" i="8"/>
  <c r="M130" i="8"/>
  <c r="P130" i="8" s="1"/>
  <c r="O292" i="8"/>
  <c r="K292" i="8"/>
  <c r="M38" i="8"/>
  <c r="N57" i="8"/>
  <c r="L57" i="8"/>
  <c r="O75" i="8"/>
  <c r="M75" i="8"/>
  <c r="M112" i="8"/>
  <c r="O50" i="8"/>
  <c r="N50" i="8"/>
  <c r="M50" i="8"/>
  <c r="O77" i="8"/>
  <c r="K108" i="8"/>
  <c r="N108" i="8"/>
  <c r="O101" i="8"/>
  <c r="N101" i="8"/>
  <c r="M101" i="8"/>
  <c r="L101" i="8"/>
  <c r="K112" i="8"/>
  <c r="N18" i="8"/>
  <c r="M18" i="8"/>
  <c r="L18" i="8"/>
  <c r="E19" i="8"/>
  <c r="M16" i="8"/>
  <c r="M55" i="8"/>
  <c r="O55" i="8"/>
  <c r="K57" i="8"/>
  <c r="N159" i="8"/>
  <c r="L159" i="8"/>
  <c r="M159" i="8"/>
  <c r="P180" i="8"/>
  <c r="K300" i="8"/>
  <c r="O300" i="8"/>
  <c r="M80" i="8"/>
  <c r="E104" i="8"/>
  <c r="E154" i="8"/>
  <c r="E156" i="8"/>
  <c r="E160" i="8"/>
  <c r="K273" i="8"/>
  <c r="K282" i="8"/>
  <c r="O56" i="8"/>
  <c r="O72" i="8"/>
  <c r="O80" i="8"/>
  <c r="K92" i="8"/>
  <c r="K100" i="8"/>
  <c r="K123" i="8"/>
  <c r="K129" i="8"/>
  <c r="M149" i="8"/>
  <c r="O149" i="8"/>
  <c r="L173" i="8"/>
  <c r="O173" i="8"/>
  <c r="M173" i="8"/>
  <c r="N173" i="8"/>
  <c r="M56" i="8"/>
  <c r="O31" i="8"/>
  <c r="P31" i="8" s="1"/>
  <c r="L77" i="8"/>
  <c r="L103" i="8"/>
  <c r="L110" i="8"/>
  <c r="O111" i="8"/>
  <c r="K127" i="8"/>
  <c r="O131" i="8"/>
  <c r="P131" i="8" s="1"/>
  <c r="O157" i="8"/>
  <c r="M157" i="8"/>
  <c r="L191" i="8"/>
  <c r="M191" i="8"/>
  <c r="O247" i="8"/>
  <c r="N247" i="8"/>
  <c r="M247" i="8"/>
  <c r="L247" i="8"/>
  <c r="K269" i="8"/>
  <c r="K274" i="8"/>
  <c r="M277" i="8"/>
  <c r="O277" i="8"/>
  <c r="O317" i="8"/>
  <c r="P317" i="8" s="1"/>
  <c r="N211" i="8"/>
  <c r="O211" i="8"/>
  <c r="L211" i="8"/>
  <c r="E139" i="8"/>
  <c r="O138" i="8"/>
  <c r="N138" i="8"/>
  <c r="M153" i="8"/>
  <c r="E158" i="8"/>
  <c r="O153" i="8"/>
  <c r="N153" i="8"/>
  <c r="M195" i="8"/>
  <c r="O195" i="8"/>
  <c r="K201" i="8"/>
  <c r="M201" i="8"/>
  <c r="P201" i="8" s="1"/>
  <c r="M205" i="8"/>
  <c r="N205" i="8"/>
  <c r="K227" i="8"/>
  <c r="O279" i="8"/>
  <c r="L279" i="8"/>
  <c r="N279" i="8"/>
  <c r="M279" i="8"/>
  <c r="M58" i="8"/>
  <c r="E59" i="8"/>
  <c r="N77" i="8"/>
  <c r="N99" i="8"/>
  <c r="M103" i="8"/>
  <c r="M110" i="8"/>
  <c r="M118" i="8"/>
  <c r="O141" i="8"/>
  <c r="L150" i="8"/>
  <c r="E151" i="8"/>
  <c r="M150" i="8"/>
  <c r="K162" i="8"/>
  <c r="K175" i="8"/>
  <c r="N178" i="8"/>
  <c r="M178" i="8"/>
  <c r="L178" i="8"/>
  <c r="L205" i="8"/>
  <c r="M227" i="8"/>
  <c r="P227" i="8" s="1"/>
  <c r="K229" i="8"/>
  <c r="O229" i="8"/>
  <c r="L232" i="8"/>
  <c r="M232" i="8"/>
  <c r="O232" i="8"/>
  <c r="N232" i="8"/>
  <c r="O263" i="8"/>
  <c r="N263" i="8"/>
  <c r="M263" i="8"/>
  <c r="L263" i="8"/>
  <c r="O306" i="8"/>
  <c r="M306" i="8"/>
  <c r="K153" i="8"/>
  <c r="L171" i="8"/>
  <c r="O171" i="8"/>
  <c r="L184" i="8"/>
  <c r="O184" i="8"/>
  <c r="E192" i="8"/>
  <c r="O188" i="8"/>
  <c r="N188" i="8"/>
  <c r="E262" i="8"/>
  <c r="E268" i="8"/>
  <c r="N261" i="8"/>
  <c r="O261" i="8"/>
  <c r="M261" i="8"/>
  <c r="L261" i="8"/>
  <c r="P207" i="8"/>
  <c r="N215" i="8"/>
  <c r="O215" i="8"/>
  <c r="M215" i="8"/>
  <c r="M233" i="8"/>
  <c r="L233" i="8"/>
  <c r="N233" i="8"/>
  <c r="N122" i="8"/>
  <c r="L122" i="8"/>
  <c r="O170" i="8"/>
  <c r="M170" i="8"/>
  <c r="M188" i="8"/>
  <c r="N196" i="8"/>
  <c r="M196" i="8"/>
  <c r="K202" i="8"/>
  <c r="O241" i="8"/>
  <c r="L241" i="8"/>
  <c r="N241" i="8"/>
  <c r="O243" i="8"/>
  <c r="M243" i="8"/>
  <c r="M248" i="8"/>
  <c r="O248" i="8"/>
  <c r="K283" i="8"/>
  <c r="E288" i="8"/>
  <c r="E290" i="8"/>
  <c r="N287" i="8"/>
  <c r="M287" i="8"/>
  <c r="O314" i="8"/>
  <c r="K319" i="8"/>
  <c r="M319" i="8"/>
  <c r="P319" i="8" s="1"/>
  <c r="E145" i="8"/>
  <c r="L217" i="8"/>
  <c r="M217" i="8"/>
  <c r="M220" i="8"/>
  <c r="L220" i="8"/>
  <c r="O301" i="8"/>
  <c r="N301" i="8"/>
  <c r="O242" i="8"/>
  <c r="P242" i="8" s="1"/>
  <c r="L244" i="8"/>
  <c r="M244" i="8"/>
  <c r="O250" i="8"/>
  <c r="L250" i="8"/>
  <c r="N250" i="8"/>
  <c r="O303" i="8"/>
  <c r="M303" i="8"/>
  <c r="E163" i="8"/>
  <c r="E181" i="8"/>
  <c r="L175" i="8"/>
  <c r="E179" i="8"/>
  <c r="E206" i="8"/>
  <c r="L202" i="8"/>
  <c r="E208" i="8"/>
  <c r="O280" i="8"/>
  <c r="P280" i="8" s="1"/>
  <c r="L286" i="8"/>
  <c r="N286" i="8"/>
  <c r="M286" i="8"/>
  <c r="M313" i="8"/>
  <c r="P313" i="8" s="1"/>
  <c r="K313" i="8"/>
  <c r="O323" i="8"/>
  <c r="P323" i="8" s="1"/>
  <c r="M245" i="8"/>
  <c r="L245" i="8"/>
  <c r="E246" i="8"/>
  <c r="M266" i="8"/>
  <c r="L266" i="8"/>
  <c r="L284" i="8"/>
  <c r="O287" i="8"/>
  <c r="O304" i="8"/>
  <c r="P304" i="8" s="1"/>
  <c r="N186" i="8"/>
  <c r="N197" i="8"/>
  <c r="N219" i="8"/>
  <c r="K241" i="8"/>
  <c r="O249" i="8"/>
  <c r="N249" i="8"/>
  <c r="M292" i="8"/>
  <c r="L292" i="8"/>
  <c r="E294" i="8"/>
  <c r="E293" i="8"/>
  <c r="O219" i="8"/>
  <c r="K268" i="8"/>
  <c r="O278" i="8"/>
  <c r="N278" i="8"/>
  <c r="O305" i="8"/>
  <c r="P305" i="8" s="1"/>
  <c r="P165" i="8" l="1"/>
  <c r="M289" i="8"/>
  <c r="P295" i="8"/>
  <c r="P260" i="8"/>
  <c r="E86" i="8"/>
  <c r="L86" i="8" s="1"/>
  <c r="P221" i="8"/>
  <c r="P197" i="8"/>
  <c r="P281" i="8"/>
  <c r="P98" i="8"/>
  <c r="O169" i="8"/>
  <c r="P169" i="8" s="1"/>
  <c r="O39" i="8"/>
  <c r="K239" i="8"/>
  <c r="P321" i="8"/>
  <c r="E63" i="8"/>
  <c r="M63" i="8" s="1"/>
  <c r="E83" i="8"/>
  <c r="N83" i="8" s="1"/>
  <c r="O62" i="8"/>
  <c r="M168" i="8"/>
  <c r="P310" i="8"/>
  <c r="M81" i="8"/>
  <c r="N81" i="8"/>
  <c r="P284" i="8"/>
  <c r="P205" i="8"/>
  <c r="O289" i="8"/>
  <c r="O168" i="8"/>
  <c r="N212" i="8"/>
  <c r="K95" i="8"/>
  <c r="P259" i="8"/>
  <c r="K255" i="8"/>
  <c r="N289" i="8"/>
  <c r="O81" i="8"/>
  <c r="P195" i="8"/>
  <c r="E124" i="8"/>
  <c r="M124" i="8" s="1"/>
  <c r="E126" i="8"/>
  <c r="N126" i="8" s="1"/>
  <c r="O152" i="8"/>
  <c r="K226" i="8"/>
  <c r="L62" i="8"/>
  <c r="L81" i="8"/>
  <c r="E66" i="8"/>
  <c r="E67" i="8" s="1"/>
  <c r="E85" i="8"/>
  <c r="O85" i="8" s="1"/>
  <c r="L168" i="8"/>
  <c r="O79" i="8"/>
  <c r="L61" i="8"/>
  <c r="N62" i="8"/>
  <c r="K297" i="8"/>
  <c r="M61" i="8"/>
  <c r="P229" i="8"/>
  <c r="K299" i="8"/>
  <c r="O123" i="8"/>
  <c r="N61" i="8"/>
  <c r="N140" i="8"/>
  <c r="K137" i="8"/>
  <c r="L210" i="8"/>
  <c r="P73" i="8"/>
  <c r="P186" i="8"/>
  <c r="O61" i="8"/>
  <c r="K316" i="8"/>
  <c r="M60" i="8"/>
  <c r="P18" i="8"/>
  <c r="P245" i="8"/>
  <c r="P120" i="8"/>
  <c r="L265" i="8"/>
  <c r="E65" i="8"/>
  <c r="N65" i="8" s="1"/>
  <c r="L79" i="8"/>
  <c r="P231" i="8"/>
  <c r="P223" i="8"/>
  <c r="P35" i="8"/>
  <c r="N79" i="8"/>
  <c r="P314" i="8"/>
  <c r="O311" i="8"/>
  <c r="P311" i="8" s="1"/>
  <c r="P211" i="8"/>
  <c r="M152" i="8"/>
  <c r="M140" i="8"/>
  <c r="L60" i="8"/>
  <c r="N114" i="8"/>
  <c r="P119" i="8"/>
  <c r="P109" i="8"/>
  <c r="P220" i="8"/>
  <c r="N121" i="8"/>
  <c r="P244" i="8"/>
  <c r="P141" i="8"/>
  <c r="L198" i="8"/>
  <c r="K116" i="8"/>
  <c r="O121" i="8"/>
  <c r="O140" i="8"/>
  <c r="O60" i="8"/>
  <c r="P240" i="8"/>
  <c r="K253" i="8"/>
  <c r="P111" i="8"/>
  <c r="L114" i="8"/>
  <c r="P93" i="8"/>
  <c r="L185" i="8"/>
  <c r="P250" i="8"/>
  <c r="O185" i="8"/>
  <c r="K222" i="8"/>
  <c r="P103" i="8"/>
  <c r="P37" i="8"/>
  <c r="K295" i="8"/>
  <c r="P199" i="8"/>
  <c r="P285" i="8"/>
  <c r="P267" i="8"/>
  <c r="P283" i="8"/>
  <c r="M203" i="8"/>
  <c r="O106" i="8"/>
  <c r="P106" i="8" s="1"/>
  <c r="O189" i="8"/>
  <c r="O20" i="8"/>
  <c r="P312" i="8"/>
  <c r="P118" i="8"/>
  <c r="P92" i="8"/>
  <c r="P53" i="8"/>
  <c r="N210" i="8"/>
  <c r="P216" i="8"/>
  <c r="P316" i="8"/>
  <c r="P222" i="8"/>
  <c r="N203" i="8"/>
  <c r="N265" i="8"/>
  <c r="P266" i="8"/>
  <c r="O210" i="8"/>
  <c r="M265" i="8"/>
  <c r="K242" i="8"/>
  <c r="P70" i="8"/>
  <c r="P182" i="8"/>
  <c r="P264" i="8"/>
  <c r="K135" i="8"/>
  <c r="N113" i="8"/>
  <c r="M113" i="8"/>
  <c r="K195" i="8"/>
  <c r="K17" i="8"/>
  <c r="O113" i="8"/>
  <c r="L190" i="8"/>
  <c r="N185" i="8"/>
  <c r="P77" i="8"/>
  <c r="P255" i="8"/>
  <c r="L113" i="8"/>
  <c r="N21" i="8"/>
  <c r="E26" i="8"/>
  <c r="N26" i="8" s="1"/>
  <c r="P230" i="8"/>
  <c r="P286" i="8"/>
  <c r="P217" i="8"/>
  <c r="L194" i="8"/>
  <c r="N190" i="8"/>
  <c r="K149" i="8"/>
  <c r="L123" i="8"/>
  <c r="K31" i="8"/>
  <c r="O57" i="8"/>
  <c r="P57" i="8" s="1"/>
  <c r="K16" i="8"/>
  <c r="K38" i="8"/>
  <c r="N39" i="8"/>
  <c r="P39" i="8" s="1"/>
  <c r="K36" i="8"/>
  <c r="P107" i="8"/>
  <c r="N176" i="8"/>
  <c r="L121" i="8"/>
  <c r="K51" i="8"/>
  <c r="P191" i="8"/>
  <c r="P171" i="8"/>
  <c r="P110" i="8"/>
  <c r="N147" i="8"/>
  <c r="P72" i="8"/>
  <c r="L39" i="8"/>
  <c r="K71" i="8"/>
  <c r="P33" i="8"/>
  <c r="P196" i="8"/>
  <c r="P36" i="8"/>
  <c r="P178" i="8"/>
  <c r="P241" i="8"/>
  <c r="O112" i="8"/>
  <c r="P112" i="8" s="1"/>
  <c r="O190" i="8"/>
  <c r="K97" i="8"/>
  <c r="K287" i="8"/>
  <c r="P122" i="8"/>
  <c r="E42" i="8"/>
  <c r="O42" i="8" s="1"/>
  <c r="M189" i="8"/>
  <c r="P162" i="8"/>
  <c r="P282" i="8"/>
  <c r="O177" i="8"/>
  <c r="M166" i="8"/>
  <c r="O166" i="8"/>
  <c r="P32" i="8"/>
  <c r="P105" i="8"/>
  <c r="P184" i="8"/>
  <c r="L177" i="8"/>
  <c r="L176" i="8"/>
  <c r="L166" i="8"/>
  <c r="L152" i="8"/>
  <c r="P302" i="8"/>
  <c r="K209" i="8"/>
  <c r="O209" i="8"/>
  <c r="P209" i="8" s="1"/>
  <c r="O91" i="8"/>
  <c r="P91" i="8" s="1"/>
  <c r="K91" i="8"/>
  <c r="P137" i="8"/>
  <c r="O144" i="8"/>
  <c r="N144" i="8"/>
  <c r="M144" i="8"/>
  <c r="L144" i="8"/>
  <c r="P71" i="8"/>
  <c r="O194" i="8"/>
  <c r="N194" i="8"/>
  <c r="P301" i="8"/>
  <c r="P248" i="8"/>
  <c r="K141" i="8"/>
  <c r="O41" i="8"/>
  <c r="M177" i="8"/>
  <c r="P277" i="8"/>
  <c r="M176" i="8"/>
  <c r="O114" i="8"/>
  <c r="K56" i="8"/>
  <c r="P159" i="8"/>
  <c r="E23" i="8"/>
  <c r="M23" i="8" s="1"/>
  <c r="E125" i="8"/>
  <c r="N123" i="8"/>
  <c r="O147" i="8"/>
  <c r="L147" i="8"/>
  <c r="E45" i="8"/>
  <c r="L41" i="8"/>
  <c r="N41" i="8"/>
  <c r="M41" i="8"/>
  <c r="K324" i="8"/>
  <c r="P300" i="8"/>
  <c r="L142" i="8"/>
  <c r="O142" i="8"/>
  <c r="M142" i="8"/>
  <c r="P215" i="8"/>
  <c r="K15" i="8"/>
  <c r="E22" i="8"/>
  <c r="N22" i="8" s="1"/>
  <c r="P278" i="8"/>
  <c r="P287" i="8"/>
  <c r="O175" i="8"/>
  <c r="P175" i="8" s="1"/>
  <c r="P243" i="8"/>
  <c r="L203" i="8"/>
  <c r="K320" i="8"/>
  <c r="M198" i="8"/>
  <c r="P157" i="8"/>
  <c r="L21" i="8"/>
  <c r="N189" i="8"/>
  <c r="O21" i="8"/>
  <c r="M21" i="8"/>
  <c r="L20" i="8"/>
  <c r="K238" i="8"/>
  <c r="O238" i="8"/>
  <c r="P238" i="8" s="1"/>
  <c r="K81" i="8"/>
  <c r="K237" i="8"/>
  <c r="P30" i="8"/>
  <c r="K37" i="8"/>
  <c r="K306" i="8"/>
  <c r="P99" i="8"/>
  <c r="E46" i="8"/>
  <c r="E47" i="8" s="1"/>
  <c r="P292" i="8"/>
  <c r="P101" i="8"/>
  <c r="P100" i="8"/>
  <c r="M20" i="8"/>
  <c r="K254" i="8"/>
  <c r="O254" i="8"/>
  <c r="P254" i="8" s="1"/>
  <c r="K128" i="8"/>
  <c r="O128" i="8"/>
  <c r="P128" i="8" s="1"/>
  <c r="L146" i="8"/>
  <c r="N146" i="8"/>
  <c r="O146" i="8"/>
  <c r="P52" i="8"/>
  <c r="P251" i="8"/>
  <c r="K78" i="8"/>
  <c r="O78" i="8"/>
  <c r="P78" i="8" s="1"/>
  <c r="P150" i="8"/>
  <c r="N198" i="8"/>
  <c r="P173" i="8"/>
  <c r="P80" i="8"/>
  <c r="O132" i="8"/>
  <c r="P132" i="8" s="1"/>
  <c r="P55" i="8"/>
  <c r="P108" i="8"/>
  <c r="P58" i="8"/>
  <c r="P17" i="8"/>
  <c r="P90" i="8"/>
  <c r="K236" i="8"/>
  <c r="M143" i="8"/>
  <c r="N143" i="8"/>
  <c r="L143" i="8"/>
  <c r="O143" i="8"/>
  <c r="K224" i="8"/>
  <c r="O224" i="8"/>
  <c r="P224" i="8" s="1"/>
  <c r="P183" i="8"/>
  <c r="K182" i="8"/>
  <c r="P237" i="8"/>
  <c r="N246" i="8"/>
  <c r="M246" i="8"/>
  <c r="L246" i="8"/>
  <c r="O246" i="8"/>
  <c r="O208" i="8"/>
  <c r="N208" i="8"/>
  <c r="M208" i="8"/>
  <c r="L208" i="8"/>
  <c r="M164" i="8"/>
  <c r="L164" i="8"/>
  <c r="O164" i="8"/>
  <c r="N164" i="8"/>
  <c r="L290" i="8"/>
  <c r="O290" i="8"/>
  <c r="N290" i="8"/>
  <c r="M290" i="8"/>
  <c r="L268" i="8"/>
  <c r="O268" i="8"/>
  <c r="E271" i="8"/>
  <c r="N268" i="8"/>
  <c r="M268" i="8"/>
  <c r="E269" i="8"/>
  <c r="E273" i="8"/>
  <c r="E270" i="8"/>
  <c r="M192" i="8"/>
  <c r="N192" i="8"/>
  <c r="L192" i="8"/>
  <c r="O192" i="8"/>
  <c r="M155" i="8"/>
  <c r="O155" i="8"/>
  <c r="L155" i="8"/>
  <c r="N155" i="8"/>
  <c r="P249" i="8"/>
  <c r="K304" i="8"/>
  <c r="O163" i="8"/>
  <c r="L163" i="8"/>
  <c r="N163" i="8"/>
  <c r="M163" i="8"/>
  <c r="O288" i="8"/>
  <c r="M288" i="8"/>
  <c r="L288" i="8"/>
  <c r="N288" i="8"/>
  <c r="K243" i="8"/>
  <c r="O262" i="8"/>
  <c r="N262" i="8"/>
  <c r="M262" i="8"/>
  <c r="L262" i="8"/>
  <c r="O158" i="8"/>
  <c r="M158" i="8"/>
  <c r="N158" i="8"/>
  <c r="L158" i="8"/>
  <c r="O160" i="8"/>
  <c r="N160" i="8"/>
  <c r="M160" i="8"/>
  <c r="L160" i="8"/>
  <c r="P75" i="8"/>
  <c r="O102" i="8"/>
  <c r="N102" i="8"/>
  <c r="L102" i="8"/>
  <c r="M102" i="8"/>
  <c r="P219" i="8"/>
  <c r="N206" i="8"/>
  <c r="M206" i="8"/>
  <c r="L206" i="8"/>
  <c r="O206" i="8"/>
  <c r="K323" i="8"/>
  <c r="M145" i="8"/>
  <c r="N145" i="8"/>
  <c r="L145" i="8"/>
  <c r="O145" i="8"/>
  <c r="M151" i="8"/>
  <c r="O151" i="8"/>
  <c r="N151" i="8"/>
  <c r="L151" i="8"/>
  <c r="N82" i="8"/>
  <c r="M82" i="8"/>
  <c r="L82" i="8"/>
  <c r="O82" i="8"/>
  <c r="K277" i="8"/>
  <c r="P247" i="8"/>
  <c r="N156" i="8"/>
  <c r="L156" i="8"/>
  <c r="M156" i="8"/>
  <c r="O156" i="8"/>
  <c r="L104" i="8"/>
  <c r="M104" i="8"/>
  <c r="O104" i="8"/>
  <c r="N104" i="8"/>
  <c r="K55" i="8"/>
  <c r="P16" i="8"/>
  <c r="K321" i="8"/>
  <c r="M293" i="8"/>
  <c r="L293" i="8"/>
  <c r="N293" i="8"/>
  <c r="O293" i="8"/>
  <c r="O25" i="8"/>
  <c r="N25" i="8"/>
  <c r="M25" i="8"/>
  <c r="L25" i="8"/>
  <c r="P303" i="8"/>
  <c r="K302" i="8"/>
  <c r="K21" i="8"/>
  <c r="K303" i="8"/>
  <c r="P279" i="8"/>
  <c r="P138" i="8"/>
  <c r="P56" i="8"/>
  <c r="K305" i="8"/>
  <c r="N172" i="8"/>
  <c r="L172" i="8"/>
  <c r="O172" i="8"/>
  <c r="M172" i="8"/>
  <c r="O202" i="8"/>
  <c r="P202" i="8" s="1"/>
  <c r="M181" i="8"/>
  <c r="O181" i="8"/>
  <c r="L181" i="8"/>
  <c r="N181" i="8"/>
  <c r="K248" i="8"/>
  <c r="P170" i="8"/>
  <c r="P261" i="8"/>
  <c r="P232" i="8"/>
  <c r="K41" i="8"/>
  <c r="M139" i="8"/>
  <c r="O139" i="8"/>
  <c r="L139" i="8"/>
  <c r="N139" i="8"/>
  <c r="M43" i="8"/>
  <c r="O43" i="8"/>
  <c r="N43" i="8"/>
  <c r="L43" i="8"/>
  <c r="E44" i="8"/>
  <c r="P40" i="8"/>
  <c r="N59" i="8"/>
  <c r="O59" i="8"/>
  <c r="L59" i="8"/>
  <c r="M59" i="8"/>
  <c r="M154" i="8"/>
  <c r="L154" i="8"/>
  <c r="O154" i="8"/>
  <c r="N154" i="8"/>
  <c r="O19" i="8"/>
  <c r="N19" i="8"/>
  <c r="M19" i="8"/>
  <c r="L19" i="8"/>
  <c r="M294" i="8"/>
  <c r="L294" i="8"/>
  <c r="O294" i="8"/>
  <c r="N294" i="8"/>
  <c r="O179" i="8"/>
  <c r="N179" i="8"/>
  <c r="M179" i="8"/>
  <c r="L179" i="8"/>
  <c r="P263" i="8"/>
  <c r="L204" i="8"/>
  <c r="O204" i="8"/>
  <c r="N204" i="8"/>
  <c r="M204" i="8"/>
  <c r="K280" i="8"/>
  <c r="P233" i="8"/>
  <c r="P188" i="8"/>
  <c r="P306" i="8"/>
  <c r="P153" i="8"/>
  <c r="K317" i="8"/>
  <c r="P149" i="8"/>
  <c r="P50" i="8"/>
  <c r="K75" i="8"/>
  <c r="P38" i="8"/>
  <c r="P214" i="8"/>
  <c r="K131" i="8"/>
  <c r="E87" i="8" l="1"/>
  <c r="O87" i="8" s="1"/>
  <c r="L83" i="8"/>
  <c r="O83" i="8"/>
  <c r="N86" i="8"/>
  <c r="O86" i="8"/>
  <c r="E88" i="8"/>
  <c r="L88" i="8" s="1"/>
  <c r="M86" i="8"/>
  <c r="E89" i="8"/>
  <c r="M89" i="8" s="1"/>
  <c r="M83" i="8"/>
  <c r="N63" i="8"/>
  <c r="E64" i="8"/>
  <c r="L64" i="8" s="1"/>
  <c r="P210" i="8"/>
  <c r="L212" i="8"/>
  <c r="O23" i="8"/>
  <c r="E84" i="8"/>
  <c r="N84" i="8" s="1"/>
  <c r="L66" i="8"/>
  <c r="P60" i="8"/>
  <c r="O63" i="8"/>
  <c r="P63" i="8" s="1"/>
  <c r="P61" i="8"/>
  <c r="P168" i="8"/>
  <c r="L124" i="8"/>
  <c r="L63" i="8"/>
  <c r="P185" i="8"/>
  <c r="O126" i="8"/>
  <c r="P62" i="8"/>
  <c r="P81" i="8"/>
  <c r="N42" i="8"/>
  <c r="M126" i="8"/>
  <c r="L126" i="8"/>
  <c r="M212" i="8"/>
  <c r="O212" i="8"/>
  <c r="P203" i="8"/>
  <c r="N124" i="8"/>
  <c r="O124" i="8"/>
  <c r="M42" i="8"/>
  <c r="P289" i="8"/>
  <c r="P20" i="8"/>
  <c r="L42" i="8"/>
  <c r="M65" i="8"/>
  <c r="L85" i="8"/>
  <c r="L65" i="8"/>
  <c r="M85" i="8"/>
  <c r="P166" i="8"/>
  <c r="P113" i="8"/>
  <c r="P140" i="8"/>
  <c r="P121" i="8"/>
  <c r="P152" i="8"/>
  <c r="O66" i="8"/>
  <c r="E68" i="8"/>
  <c r="M68" i="8" s="1"/>
  <c r="E69" i="8"/>
  <c r="N69" i="8" s="1"/>
  <c r="P79" i="8"/>
  <c r="N66" i="8"/>
  <c r="P123" i="8"/>
  <c r="O65" i="8"/>
  <c r="N85" i="8"/>
  <c r="M66" i="8"/>
  <c r="P177" i="8"/>
  <c r="P114" i="8"/>
  <c r="P189" i="8"/>
  <c r="P265" i="8"/>
  <c r="N46" i="8"/>
  <c r="P206" i="8"/>
  <c r="P142" i="8"/>
  <c r="P190" i="8"/>
  <c r="P146" i="8"/>
  <c r="L26" i="8"/>
  <c r="O26" i="8"/>
  <c r="E27" i="8"/>
  <c r="M27" i="8" s="1"/>
  <c r="M26" i="8"/>
  <c r="P176" i="8"/>
  <c r="P194" i="8"/>
  <c r="E28" i="8"/>
  <c r="L28" i="8" s="1"/>
  <c r="E29" i="8"/>
  <c r="L29" i="8" s="1"/>
  <c r="P43" i="8"/>
  <c r="L22" i="8"/>
  <c r="P147" i="8"/>
  <c r="O22" i="8"/>
  <c r="P59" i="8"/>
  <c r="L46" i="8"/>
  <c r="P160" i="8"/>
  <c r="P144" i="8"/>
  <c r="E48" i="8"/>
  <c r="O48" i="8" s="1"/>
  <c r="P139" i="8"/>
  <c r="M22" i="8"/>
  <c r="O46" i="8"/>
  <c r="E49" i="8"/>
  <c r="N49" i="8" s="1"/>
  <c r="L23" i="8"/>
  <c r="P82" i="8"/>
  <c r="P192" i="8"/>
  <c r="P246" i="8"/>
  <c r="P198" i="8"/>
  <c r="L45" i="8"/>
  <c r="N45" i="8"/>
  <c r="O45" i="8"/>
  <c r="M45" i="8"/>
  <c r="M125" i="8"/>
  <c r="N125" i="8"/>
  <c r="O125" i="8"/>
  <c r="L125" i="8"/>
  <c r="E24" i="8"/>
  <c r="M24" i="8" s="1"/>
  <c r="M46" i="8"/>
  <c r="N23" i="8"/>
  <c r="P21" i="8"/>
  <c r="P143" i="8"/>
  <c r="P41" i="8"/>
  <c r="L270" i="8"/>
  <c r="M270" i="8"/>
  <c r="O270" i="8"/>
  <c r="N270" i="8"/>
  <c r="M67" i="8"/>
  <c r="O67" i="8"/>
  <c r="N67" i="8"/>
  <c r="L67" i="8"/>
  <c r="P181" i="8"/>
  <c r="P104" i="8"/>
  <c r="P288" i="8"/>
  <c r="L269" i="8"/>
  <c r="O269" i="8"/>
  <c r="N269" i="8"/>
  <c r="M269" i="8"/>
  <c r="P290" i="8"/>
  <c r="P155" i="8"/>
  <c r="P204" i="8"/>
  <c r="N47" i="8"/>
  <c r="O47" i="8"/>
  <c r="M47" i="8"/>
  <c r="L47" i="8"/>
  <c r="P156" i="8"/>
  <c r="P145" i="8"/>
  <c r="P262" i="8"/>
  <c r="M271" i="8"/>
  <c r="L271" i="8"/>
  <c r="N271" i="8"/>
  <c r="O271" i="8"/>
  <c r="P164" i="8"/>
  <c r="P179" i="8"/>
  <c r="P151" i="8"/>
  <c r="P102" i="8"/>
  <c r="L87" i="8"/>
  <c r="N87" i="8"/>
  <c r="M87" i="8"/>
  <c r="P294" i="8"/>
  <c r="P154" i="8"/>
  <c r="N44" i="8"/>
  <c r="O44" i="8"/>
  <c r="L44" i="8"/>
  <c r="M44" i="8"/>
  <c r="P158" i="8"/>
  <c r="P208" i="8"/>
  <c r="P172" i="8"/>
  <c r="P163" i="8"/>
  <c r="P268" i="8"/>
  <c r="P19" i="8"/>
  <c r="P25" i="8"/>
  <c r="N273" i="8"/>
  <c r="M273" i="8"/>
  <c r="E274" i="8"/>
  <c r="E275" i="8"/>
  <c r="O273" i="8"/>
  <c r="L273" i="8"/>
  <c r="P293" i="8"/>
  <c r="P83" i="8" l="1"/>
  <c r="N89" i="8"/>
  <c r="P86" i="8"/>
  <c r="O88" i="8"/>
  <c r="M88" i="8"/>
  <c r="N88" i="8"/>
  <c r="L89" i="8"/>
  <c r="O89" i="8"/>
  <c r="P89" i="8" s="1"/>
  <c r="N64" i="8"/>
  <c r="P126" i="8"/>
  <c r="M64" i="8"/>
  <c r="P23" i="8"/>
  <c r="O64" i="8"/>
  <c r="O27" i="8"/>
  <c r="P65" i="8"/>
  <c r="P42" i="8"/>
  <c r="N24" i="8"/>
  <c r="P212" i="8"/>
  <c r="M84" i="8"/>
  <c r="O84" i="8"/>
  <c r="L84" i="8"/>
  <c r="M69" i="8"/>
  <c r="O69" i="8"/>
  <c r="P66" i="8"/>
  <c r="N27" i="8"/>
  <c r="P124" i="8"/>
  <c r="L24" i="8"/>
  <c r="N68" i="8"/>
  <c r="M29" i="8"/>
  <c r="L69" i="8"/>
  <c r="O68" i="8"/>
  <c r="N29" i="8"/>
  <c r="L68" i="8"/>
  <c r="P85" i="8"/>
  <c r="P26" i="8"/>
  <c r="O28" i="8"/>
  <c r="L27" i="8"/>
  <c r="P22" i="8"/>
  <c r="O24" i="8"/>
  <c r="P46" i="8"/>
  <c r="P271" i="8"/>
  <c r="O29" i="8"/>
  <c r="M28" i="8"/>
  <c r="P125" i="8"/>
  <c r="N28" i="8"/>
  <c r="L48" i="8"/>
  <c r="N48" i="8"/>
  <c r="L49" i="8"/>
  <c r="P273" i="8"/>
  <c r="M48" i="8"/>
  <c r="O49" i="8"/>
  <c r="P45" i="8"/>
  <c r="M49" i="8"/>
  <c r="P87" i="8"/>
  <c r="P269" i="8"/>
  <c r="N275" i="8"/>
  <c r="M275" i="8"/>
  <c r="O275" i="8"/>
  <c r="L275" i="8"/>
  <c r="P67" i="8"/>
  <c r="N274" i="8"/>
  <c r="M274" i="8"/>
  <c r="O274" i="8"/>
  <c r="L274" i="8"/>
  <c r="P47" i="8"/>
  <c r="P270" i="8"/>
  <c r="P44" i="8"/>
  <c r="P88" i="8" l="1"/>
  <c r="P84" i="8"/>
  <c r="P64" i="8"/>
  <c r="P27" i="8"/>
  <c r="P24" i="8"/>
  <c r="P69" i="8"/>
  <c r="P29" i="8"/>
  <c r="P68" i="8"/>
  <c r="P28" i="8"/>
  <c r="P48" i="8"/>
  <c r="P49" i="8"/>
  <c r="P274" i="8"/>
  <c r="P275" i="8"/>
  <c r="E184" i="7" l="1"/>
  <c r="E178" i="7"/>
  <c r="E180" i="7"/>
  <c r="N179" i="7"/>
  <c r="K189" i="7"/>
  <c r="K168" i="7"/>
  <c r="K147" i="7"/>
  <c r="E137" i="7"/>
  <c r="M137" i="7" s="1"/>
  <c r="E53" i="7"/>
  <c r="E55" i="7" s="1"/>
  <c r="O55" i="7" s="1"/>
  <c r="E52" i="7"/>
  <c r="L52" i="7" s="1"/>
  <c r="K23" i="7"/>
  <c r="E29" i="7"/>
  <c r="L29" i="7" s="1"/>
  <c r="E24" i="7"/>
  <c r="O24" i="7" s="1"/>
  <c r="E16" i="7"/>
  <c r="N16" i="7" s="1"/>
  <c r="K204" i="7"/>
  <c r="E204" i="7"/>
  <c r="N204" i="7" s="1"/>
  <c r="O203" i="7"/>
  <c r="N203" i="7"/>
  <c r="M203" i="7"/>
  <c r="L203" i="7"/>
  <c r="K203" i="7"/>
  <c r="O202" i="7"/>
  <c r="N202" i="7"/>
  <c r="M202" i="7"/>
  <c r="L202" i="7"/>
  <c r="K202" i="7"/>
  <c r="O201" i="7"/>
  <c r="M201" i="7"/>
  <c r="L201" i="7"/>
  <c r="K201" i="7"/>
  <c r="O200" i="7"/>
  <c r="N200" i="7"/>
  <c r="M200" i="7"/>
  <c r="L200" i="7"/>
  <c r="K200" i="7"/>
  <c r="O199" i="7"/>
  <c r="N199" i="7"/>
  <c r="M199" i="7"/>
  <c r="L199" i="7"/>
  <c r="K199" i="7"/>
  <c r="O198" i="7"/>
  <c r="N198" i="7"/>
  <c r="M198" i="7"/>
  <c r="L198" i="7"/>
  <c r="K198" i="7"/>
  <c r="O197" i="7"/>
  <c r="N197" i="7"/>
  <c r="M197" i="7"/>
  <c r="L197" i="7"/>
  <c r="K197" i="7"/>
  <c r="H196" i="7"/>
  <c r="K196" i="7" s="1"/>
  <c r="E196" i="7"/>
  <c r="N195" i="7"/>
  <c r="L195" i="7"/>
  <c r="H195" i="7"/>
  <c r="M195" i="7" s="1"/>
  <c r="N193" i="7"/>
  <c r="L193" i="7"/>
  <c r="H193" i="7"/>
  <c r="K192" i="7"/>
  <c r="K191" i="7"/>
  <c r="H190" i="7"/>
  <c r="K188" i="7"/>
  <c r="K187" i="7"/>
  <c r="H186" i="7"/>
  <c r="K185" i="7"/>
  <c r="K184" i="7"/>
  <c r="O183" i="7"/>
  <c r="N183" i="7"/>
  <c r="M183" i="7"/>
  <c r="L183" i="7"/>
  <c r="K183" i="7"/>
  <c r="O182" i="7"/>
  <c r="N182" i="7"/>
  <c r="M182" i="7"/>
  <c r="L182" i="7"/>
  <c r="K182" i="7"/>
  <c r="K181" i="7"/>
  <c r="E181" i="7"/>
  <c r="O181" i="7" s="1"/>
  <c r="K179" i="7"/>
  <c r="K178" i="7"/>
  <c r="K177" i="7"/>
  <c r="H176" i="7"/>
  <c r="N175" i="7"/>
  <c r="L175" i="7"/>
  <c r="H175" i="7"/>
  <c r="M175" i="7" s="1"/>
  <c r="H174" i="7"/>
  <c r="N172" i="7"/>
  <c r="L172" i="7"/>
  <c r="H172" i="7"/>
  <c r="K172" i="7" s="1"/>
  <c r="K171" i="7"/>
  <c r="K170" i="7"/>
  <c r="H169" i="7"/>
  <c r="K167" i="7"/>
  <c r="K166" i="7"/>
  <c r="H165" i="7"/>
  <c r="K164" i="7"/>
  <c r="K163" i="7"/>
  <c r="O162" i="7"/>
  <c r="N162" i="7"/>
  <c r="M162" i="7"/>
  <c r="L162" i="7"/>
  <c r="K162" i="7"/>
  <c r="O161" i="7"/>
  <c r="N161" i="7"/>
  <c r="M161" i="7"/>
  <c r="L161" i="7"/>
  <c r="K161" i="7"/>
  <c r="K160" i="7"/>
  <c r="E160" i="7"/>
  <c r="N160" i="7" s="1"/>
  <c r="K158" i="7"/>
  <c r="N158" i="7"/>
  <c r="K157" i="7"/>
  <c r="K156" i="7"/>
  <c r="M156" i="7"/>
  <c r="H155" i="7"/>
  <c r="E155" i="7"/>
  <c r="N154" i="7"/>
  <c r="L154" i="7"/>
  <c r="H154" i="7"/>
  <c r="H153" i="7"/>
  <c r="L153" i="7"/>
  <c r="N151" i="7"/>
  <c r="L151" i="7"/>
  <c r="H151" i="7"/>
  <c r="M151" i="7" s="1"/>
  <c r="K150" i="7"/>
  <c r="K149" i="7"/>
  <c r="H148" i="7"/>
  <c r="K146" i="7"/>
  <c r="K145" i="7"/>
  <c r="H144" i="7"/>
  <c r="K143" i="7"/>
  <c r="K142" i="7"/>
  <c r="E142" i="7"/>
  <c r="N142" i="7" s="1"/>
  <c r="O141" i="7"/>
  <c r="N141" i="7"/>
  <c r="M141" i="7"/>
  <c r="L141" i="7"/>
  <c r="K141" i="7"/>
  <c r="O140" i="7"/>
  <c r="N140" i="7"/>
  <c r="M140" i="7"/>
  <c r="L140" i="7"/>
  <c r="K140" i="7"/>
  <c r="K139" i="7"/>
  <c r="E139" i="7"/>
  <c r="N139" i="7" s="1"/>
  <c r="K137" i="7"/>
  <c r="K136" i="7"/>
  <c r="K135" i="7"/>
  <c r="E135" i="7"/>
  <c r="O135" i="7" s="1"/>
  <c r="H134" i="7"/>
  <c r="E134" i="7"/>
  <c r="N133" i="7"/>
  <c r="L133" i="7"/>
  <c r="H133" i="7"/>
  <c r="H132" i="7"/>
  <c r="E132" i="7"/>
  <c r="E143" i="7" s="1"/>
  <c r="N130" i="7"/>
  <c r="L130" i="7"/>
  <c r="H130" i="7"/>
  <c r="M130" i="7" s="1"/>
  <c r="N129" i="7"/>
  <c r="L129" i="7"/>
  <c r="H129" i="7"/>
  <c r="N128" i="7"/>
  <c r="L128" i="7"/>
  <c r="H128" i="7"/>
  <c r="M128" i="7" s="1"/>
  <c r="N127" i="7"/>
  <c r="L127" i="7"/>
  <c r="H127" i="7"/>
  <c r="L126" i="7"/>
  <c r="N126" i="7"/>
  <c r="H126" i="7"/>
  <c r="M126" i="7" s="1"/>
  <c r="N124" i="7"/>
  <c r="L124" i="7"/>
  <c r="H124" i="7"/>
  <c r="M124" i="7" s="1"/>
  <c r="N123" i="7"/>
  <c r="L123" i="7"/>
  <c r="H123" i="7"/>
  <c r="K123" i="7" s="1"/>
  <c r="K122" i="7"/>
  <c r="E122" i="7"/>
  <c r="K121" i="7"/>
  <c r="E121" i="7"/>
  <c r="L121" i="7" s="1"/>
  <c r="E120" i="7"/>
  <c r="O120" i="7" s="1"/>
  <c r="K119" i="7"/>
  <c r="E119" i="7"/>
  <c r="O119" i="7" s="1"/>
  <c r="K118" i="7"/>
  <c r="E118" i="7"/>
  <c r="N117" i="7"/>
  <c r="L117" i="7"/>
  <c r="H117" i="7"/>
  <c r="N115" i="7"/>
  <c r="L115" i="7"/>
  <c r="H115" i="7"/>
  <c r="O115" i="7" s="1"/>
  <c r="N114" i="7"/>
  <c r="L114" i="7"/>
  <c r="H114" i="7"/>
  <c r="N113" i="7"/>
  <c r="L113" i="7"/>
  <c r="H113" i="7"/>
  <c r="L112" i="7"/>
  <c r="N112" i="7"/>
  <c r="H112" i="7"/>
  <c r="O112" i="7" s="1"/>
  <c r="L111" i="7"/>
  <c r="N111" i="7"/>
  <c r="H111" i="7"/>
  <c r="N109" i="7"/>
  <c r="L109" i="7"/>
  <c r="H109" i="7"/>
  <c r="M109" i="7" s="1"/>
  <c r="L108" i="7"/>
  <c r="N108" i="7"/>
  <c r="H108" i="7"/>
  <c r="L107" i="7"/>
  <c r="N107" i="7"/>
  <c r="H107" i="7"/>
  <c r="O106" i="7"/>
  <c r="N106" i="7"/>
  <c r="M106" i="7"/>
  <c r="L106" i="7"/>
  <c r="K106" i="7"/>
  <c r="K105" i="7"/>
  <c r="E105" i="7"/>
  <c r="L105" i="7" s="1"/>
  <c r="K104" i="7"/>
  <c r="E104" i="7"/>
  <c r="N103" i="7"/>
  <c r="L103" i="7"/>
  <c r="H103" i="7"/>
  <c r="K101" i="7"/>
  <c r="H99" i="7"/>
  <c r="K98" i="7"/>
  <c r="E98" i="7"/>
  <c r="O98" i="7" s="1"/>
  <c r="K97" i="7"/>
  <c r="K96" i="7"/>
  <c r="K100" i="7"/>
  <c r="H94" i="7"/>
  <c r="K93" i="7"/>
  <c r="E93" i="7"/>
  <c r="N93" i="7" s="1"/>
  <c r="K92" i="7"/>
  <c r="E92" i="7"/>
  <c r="K91" i="7"/>
  <c r="K90" i="7"/>
  <c r="E90" i="7"/>
  <c r="K89" i="7"/>
  <c r="K88" i="7"/>
  <c r="H87" i="7"/>
  <c r="E87" i="7"/>
  <c r="N87" i="7" s="1"/>
  <c r="K86" i="7"/>
  <c r="E86" i="7"/>
  <c r="M86" i="7" s="1"/>
  <c r="K85" i="7"/>
  <c r="E85" i="7"/>
  <c r="N84" i="7"/>
  <c r="L84" i="7"/>
  <c r="H84" i="7"/>
  <c r="M84" i="7" s="1"/>
  <c r="K82" i="7"/>
  <c r="H80" i="7"/>
  <c r="K79" i="7"/>
  <c r="E79" i="7"/>
  <c r="E78" i="7"/>
  <c r="L78" i="7" s="1"/>
  <c r="E77" i="7"/>
  <c r="N76" i="7"/>
  <c r="L76" i="7"/>
  <c r="H76" i="7"/>
  <c r="K75" i="7"/>
  <c r="E75" i="7"/>
  <c r="L75" i="7" s="1"/>
  <c r="K74" i="7"/>
  <c r="K78" i="7"/>
  <c r="K81" i="7"/>
  <c r="H71" i="7"/>
  <c r="K70" i="7"/>
  <c r="E70" i="7"/>
  <c r="K69" i="7"/>
  <c r="E69" i="7"/>
  <c r="M69" i="7" s="1"/>
  <c r="O68" i="7"/>
  <c r="N68" i="7"/>
  <c r="M68" i="7"/>
  <c r="L68" i="7"/>
  <c r="K68" i="7"/>
  <c r="E67" i="7"/>
  <c r="M67" i="7" s="1"/>
  <c r="K66" i="7"/>
  <c r="K65" i="7"/>
  <c r="H64" i="7"/>
  <c r="E64" i="7"/>
  <c r="E66" i="7" s="1"/>
  <c r="K63" i="7"/>
  <c r="E63" i="7"/>
  <c r="N63" i="7" s="1"/>
  <c r="K62" i="7"/>
  <c r="E62" i="7"/>
  <c r="M62" i="7" s="1"/>
  <c r="N61" i="7"/>
  <c r="L61" i="7"/>
  <c r="H61" i="7"/>
  <c r="O61" i="7" s="1"/>
  <c r="K59" i="7"/>
  <c r="H57" i="7"/>
  <c r="K57" i="7" s="1"/>
  <c r="K56" i="7"/>
  <c r="H53" i="7"/>
  <c r="K52" i="7"/>
  <c r="K51" i="7"/>
  <c r="K50" i="7"/>
  <c r="K58" i="7"/>
  <c r="H48" i="7"/>
  <c r="K47" i="7"/>
  <c r="E47" i="7"/>
  <c r="N47" i="7" s="1"/>
  <c r="K46" i="7"/>
  <c r="E46" i="7"/>
  <c r="O46" i="7" s="1"/>
  <c r="K45" i="7"/>
  <c r="K44" i="7"/>
  <c r="E44" i="7"/>
  <c r="K43" i="7"/>
  <c r="K42" i="7"/>
  <c r="H41" i="7"/>
  <c r="E41" i="7"/>
  <c r="L41" i="7" s="1"/>
  <c r="K40" i="7"/>
  <c r="E40" i="7"/>
  <c r="O40" i="7" s="1"/>
  <c r="K39" i="7"/>
  <c r="E39" i="7"/>
  <c r="O39" i="7" s="1"/>
  <c r="N38" i="7"/>
  <c r="L38" i="7"/>
  <c r="H38" i="7"/>
  <c r="O38" i="7" s="1"/>
  <c r="K36" i="7"/>
  <c r="H34" i="7"/>
  <c r="K33" i="7"/>
  <c r="E33" i="7"/>
  <c r="E32" i="7"/>
  <c r="M32" i="7" s="1"/>
  <c r="E31" i="7"/>
  <c r="L31" i="7" s="1"/>
  <c r="N30" i="7"/>
  <c r="L30" i="7"/>
  <c r="H30" i="7"/>
  <c r="M30" i="7" s="1"/>
  <c r="K29" i="7"/>
  <c r="K28" i="7"/>
  <c r="K32" i="7"/>
  <c r="H25" i="7"/>
  <c r="K25" i="7" s="1"/>
  <c r="K24" i="7"/>
  <c r="E23" i="7"/>
  <c r="K22" i="7"/>
  <c r="K21" i="7"/>
  <c r="E21" i="7"/>
  <c r="E22" i="7" s="1"/>
  <c r="M22" i="7" s="1"/>
  <c r="K20" i="7"/>
  <c r="K19" i="7"/>
  <c r="H18" i="7"/>
  <c r="K18" i="7" s="1"/>
  <c r="E18" i="7"/>
  <c r="K17" i="7"/>
  <c r="N17" i="7"/>
  <c r="K16" i="7"/>
  <c r="N15" i="7"/>
  <c r="L15" i="7"/>
  <c r="H15" i="7"/>
  <c r="H37" i="6"/>
  <c r="K37" i="6" s="1"/>
  <c r="E37" i="6"/>
  <c r="O37" i="6" s="1"/>
  <c r="O36" i="6"/>
  <c r="N36" i="6"/>
  <c r="L36" i="6"/>
  <c r="H36" i="6"/>
  <c r="M36" i="6" s="1"/>
  <c r="O35" i="6"/>
  <c r="N35" i="6"/>
  <c r="L35" i="6"/>
  <c r="H35" i="6"/>
  <c r="M35" i="6" s="1"/>
  <c r="H33" i="6"/>
  <c r="K33" i="6" s="1"/>
  <c r="E33" i="6"/>
  <c r="O32" i="6"/>
  <c r="L32" i="6"/>
  <c r="N32" i="6"/>
  <c r="H32" i="6"/>
  <c r="M32" i="6" s="1"/>
  <c r="O31" i="6"/>
  <c r="L31" i="6"/>
  <c r="N31" i="6"/>
  <c r="H31" i="6"/>
  <c r="M31" i="6" s="1"/>
  <c r="O30" i="6"/>
  <c r="N30" i="6"/>
  <c r="L30" i="6"/>
  <c r="H30" i="6"/>
  <c r="M30" i="6" s="1"/>
  <c r="O29" i="6"/>
  <c r="L29" i="6"/>
  <c r="N29" i="6"/>
  <c r="H29" i="6"/>
  <c r="O28" i="6"/>
  <c r="N28" i="6"/>
  <c r="L28" i="6"/>
  <c r="H28" i="6"/>
  <c r="K28" i="6" s="1"/>
  <c r="O27" i="6"/>
  <c r="N27" i="6"/>
  <c r="L27" i="6"/>
  <c r="H27" i="6"/>
  <c r="K27" i="6" s="1"/>
  <c r="H25" i="6"/>
  <c r="K25" i="6" s="1"/>
  <c r="E25" i="6"/>
  <c r="N25" i="6" s="1"/>
  <c r="H23" i="6"/>
  <c r="L23" i="6"/>
  <c r="N22" i="6"/>
  <c r="N19" i="6"/>
  <c r="H19" i="6"/>
  <c r="N18" i="6"/>
  <c r="N15" i="6"/>
  <c r="K34" i="5"/>
  <c r="K33" i="5"/>
  <c r="K32" i="5"/>
  <c r="H31" i="5"/>
  <c r="K30" i="5"/>
  <c r="K29" i="5"/>
  <c r="H28" i="5"/>
  <c r="E28" i="5"/>
  <c r="E31" i="5" s="1"/>
  <c r="K27" i="5"/>
  <c r="E27" i="5"/>
  <c r="N27" i="5" s="1"/>
  <c r="K26" i="5"/>
  <c r="E26" i="5"/>
  <c r="M26" i="5" s="1"/>
  <c r="N25" i="5"/>
  <c r="L25" i="5"/>
  <c r="H25" i="5"/>
  <c r="M25" i="5" s="1"/>
  <c r="N24" i="5"/>
  <c r="L24" i="5"/>
  <c r="H24" i="5"/>
  <c r="M24" i="5" s="1"/>
  <c r="N22" i="5"/>
  <c r="L22" i="5"/>
  <c r="H22" i="5"/>
  <c r="M22" i="5" s="1"/>
  <c r="N21" i="5"/>
  <c r="L21" i="5"/>
  <c r="H21" i="5"/>
  <c r="M21" i="5" s="1"/>
  <c r="N20" i="5"/>
  <c r="L20" i="5"/>
  <c r="H20" i="5"/>
  <c r="M20" i="5" s="1"/>
  <c r="L19" i="5"/>
  <c r="N19" i="5"/>
  <c r="H19" i="5"/>
  <c r="M19" i="5" s="1"/>
  <c r="O18" i="5"/>
  <c r="N18" i="5"/>
  <c r="M18" i="5"/>
  <c r="L18" i="5"/>
  <c r="K18" i="5"/>
  <c r="O17" i="5"/>
  <c r="N17" i="5"/>
  <c r="L17" i="5"/>
  <c r="H17" i="5"/>
  <c r="K17" i="5" s="1"/>
  <c r="N16" i="5"/>
  <c r="L16" i="5"/>
  <c r="H16" i="5"/>
  <c r="O16" i="5" s="1"/>
  <c r="N15" i="5"/>
  <c r="L15" i="5"/>
  <c r="H15" i="5"/>
  <c r="M15" i="5" s="1"/>
  <c r="N82" i="4"/>
  <c r="L82" i="4"/>
  <c r="H82" i="4"/>
  <c r="K101" i="4"/>
  <c r="E101" i="4"/>
  <c r="O100" i="4"/>
  <c r="N100" i="4"/>
  <c r="L100" i="4"/>
  <c r="H100" i="4"/>
  <c r="N99" i="4"/>
  <c r="L99" i="4"/>
  <c r="O99" i="4"/>
  <c r="H99" i="4"/>
  <c r="N98" i="4"/>
  <c r="L98" i="4"/>
  <c r="H98" i="4"/>
  <c r="N97" i="4"/>
  <c r="L97" i="4"/>
  <c r="H97" i="4"/>
  <c r="L96" i="4"/>
  <c r="N96" i="4"/>
  <c r="H96" i="4"/>
  <c r="N95" i="4"/>
  <c r="L95" i="4"/>
  <c r="H95" i="4"/>
  <c r="O95" i="4" s="1"/>
  <c r="N94" i="4"/>
  <c r="L94" i="4"/>
  <c r="H94" i="4"/>
  <c r="N93" i="4"/>
  <c r="L93" i="4"/>
  <c r="H93" i="4"/>
  <c r="N92" i="4"/>
  <c r="L92" i="4"/>
  <c r="H92" i="4"/>
  <c r="N91" i="4"/>
  <c r="L91" i="4"/>
  <c r="H91" i="4"/>
  <c r="N90" i="4"/>
  <c r="L90" i="4"/>
  <c r="H90" i="4"/>
  <c r="O90" i="4" s="1"/>
  <c r="N89" i="4"/>
  <c r="L89" i="4"/>
  <c r="H89" i="4"/>
  <c r="O89" i="4" s="1"/>
  <c r="K87" i="4"/>
  <c r="E87" i="4"/>
  <c r="O86" i="4"/>
  <c r="N86" i="4"/>
  <c r="L86" i="4"/>
  <c r="H86" i="4"/>
  <c r="M86" i="4" s="1"/>
  <c r="N85" i="4"/>
  <c r="L85" i="4"/>
  <c r="O85" i="4"/>
  <c r="H85" i="4"/>
  <c r="M85" i="4" s="1"/>
  <c r="N84" i="4"/>
  <c r="L84" i="4"/>
  <c r="H84" i="4"/>
  <c r="M84" i="4" s="1"/>
  <c r="N83" i="4"/>
  <c r="L83" i="4"/>
  <c r="H83" i="4"/>
  <c r="M83" i="4" s="1"/>
  <c r="N81" i="4"/>
  <c r="L81" i="4"/>
  <c r="H81" i="4"/>
  <c r="M81" i="4" s="1"/>
  <c r="N80" i="4"/>
  <c r="L80" i="4"/>
  <c r="H80" i="4"/>
  <c r="M80" i="4" s="1"/>
  <c r="N79" i="4"/>
  <c r="L79" i="4"/>
  <c r="H79" i="4"/>
  <c r="M79" i="4" s="1"/>
  <c r="N78" i="4"/>
  <c r="L78" i="4"/>
  <c r="H78" i="4"/>
  <c r="M78" i="4" s="1"/>
  <c r="N77" i="4"/>
  <c r="L77" i="4"/>
  <c r="H77" i="4"/>
  <c r="M77" i="4" s="1"/>
  <c r="N76" i="4"/>
  <c r="L76" i="4"/>
  <c r="H76" i="4"/>
  <c r="M76" i="4" s="1"/>
  <c r="N75" i="4"/>
  <c r="L75" i="4"/>
  <c r="H75" i="4"/>
  <c r="M75" i="4" s="1"/>
  <c r="N74" i="4"/>
  <c r="L74" i="4"/>
  <c r="H74" i="4"/>
  <c r="M74" i="4" s="1"/>
  <c r="N73" i="4"/>
  <c r="L73" i="4"/>
  <c r="H73" i="4"/>
  <c r="M73" i="4" s="1"/>
  <c r="N72" i="4"/>
  <c r="L72" i="4"/>
  <c r="H72" i="4"/>
  <c r="M72" i="4" s="1"/>
  <c r="N71" i="4"/>
  <c r="L71" i="4"/>
  <c r="H71" i="4"/>
  <c r="M71" i="4" s="1"/>
  <c r="N70" i="4"/>
  <c r="L70" i="4"/>
  <c r="H70" i="4"/>
  <c r="M70" i="4" s="1"/>
  <c r="N69" i="4"/>
  <c r="L69" i="4"/>
  <c r="H69" i="4"/>
  <c r="M69" i="4" s="1"/>
  <c r="N68" i="4"/>
  <c r="L68" i="4"/>
  <c r="H68" i="4"/>
  <c r="M68" i="4" s="1"/>
  <c r="K66" i="4"/>
  <c r="E66" i="4"/>
  <c r="M66" i="4" s="1"/>
  <c r="O65" i="4"/>
  <c r="N65" i="4"/>
  <c r="L65" i="4"/>
  <c r="H65" i="4"/>
  <c r="K65" i="4" s="1"/>
  <c r="N64" i="4"/>
  <c r="L64" i="4"/>
  <c r="H64" i="4"/>
  <c r="M64" i="4" s="1"/>
  <c r="N63" i="4"/>
  <c r="L63" i="4"/>
  <c r="H63" i="4"/>
  <c r="M63" i="4" s="1"/>
  <c r="N62" i="4"/>
  <c r="L62" i="4"/>
  <c r="H62" i="4"/>
  <c r="M62" i="4" s="1"/>
  <c r="N61" i="4"/>
  <c r="L61" i="4"/>
  <c r="H61" i="4"/>
  <c r="M61" i="4" s="1"/>
  <c r="N60" i="4"/>
  <c r="L60" i="4"/>
  <c r="H60" i="4"/>
  <c r="M60" i="4" s="1"/>
  <c r="N59" i="4"/>
  <c r="L59" i="4"/>
  <c r="H59" i="4"/>
  <c r="M59" i="4" s="1"/>
  <c r="N58" i="4"/>
  <c r="L58" i="4"/>
  <c r="H58" i="4"/>
  <c r="M58" i="4" s="1"/>
  <c r="N57" i="4"/>
  <c r="L57" i="4"/>
  <c r="H57" i="4"/>
  <c r="M57" i="4" s="1"/>
  <c r="N56" i="4"/>
  <c r="L56" i="4"/>
  <c r="H56" i="4"/>
  <c r="M56" i="4" s="1"/>
  <c r="N55" i="4"/>
  <c r="L55" i="4"/>
  <c r="H55" i="4"/>
  <c r="M55" i="4" s="1"/>
  <c r="N54" i="4"/>
  <c r="L54" i="4"/>
  <c r="H54" i="4"/>
  <c r="M54" i="4" s="1"/>
  <c r="N53" i="4"/>
  <c r="L53" i="4"/>
  <c r="H53" i="4"/>
  <c r="M53" i="4" s="1"/>
  <c r="N52" i="4"/>
  <c r="L52" i="4"/>
  <c r="H52" i="4"/>
  <c r="M52" i="4" s="1"/>
  <c r="N51" i="4"/>
  <c r="L51" i="4"/>
  <c r="H51" i="4"/>
  <c r="M51" i="4" s="1"/>
  <c r="L50" i="4"/>
  <c r="N50" i="4"/>
  <c r="H50" i="4"/>
  <c r="M50" i="4" s="1"/>
  <c r="N49" i="4"/>
  <c r="L49" i="4"/>
  <c r="H49" i="4"/>
  <c r="K49" i="4" s="1"/>
  <c r="N48" i="4"/>
  <c r="L48" i="4"/>
  <c r="H48" i="4"/>
  <c r="M48" i="4" s="1"/>
  <c r="N47" i="4"/>
  <c r="L47" i="4"/>
  <c r="H47" i="4"/>
  <c r="N46" i="4"/>
  <c r="L46" i="4"/>
  <c r="H46" i="4"/>
  <c r="N45" i="4"/>
  <c r="L45" i="4"/>
  <c r="H45" i="4"/>
  <c r="M45" i="4" s="1"/>
  <c r="N44" i="4"/>
  <c r="L44" i="4"/>
  <c r="H44" i="4"/>
  <c r="M44" i="4" s="1"/>
  <c r="N43" i="4"/>
  <c r="L43" i="4"/>
  <c r="H43" i="4"/>
  <c r="M43" i="4" s="1"/>
  <c r="N42" i="4"/>
  <c r="L42" i="4"/>
  <c r="H42" i="4"/>
  <c r="M42" i="4" s="1"/>
  <c r="N41" i="4"/>
  <c r="L41" i="4"/>
  <c r="H41" i="4"/>
  <c r="M41" i="4" s="1"/>
  <c r="N40" i="4"/>
  <c r="L40" i="4"/>
  <c r="H40" i="4"/>
  <c r="K40" i="4" s="1"/>
  <c r="K38" i="4"/>
  <c r="L38" i="4"/>
  <c r="O37" i="4"/>
  <c r="N37" i="4"/>
  <c r="L37" i="4"/>
  <c r="H37" i="4"/>
  <c r="K37" i="4" s="1"/>
  <c r="N36" i="4"/>
  <c r="M36" i="4"/>
  <c r="L36" i="4"/>
  <c r="O36" i="4"/>
  <c r="H36" i="4"/>
  <c r="N35" i="4"/>
  <c r="L35" i="4"/>
  <c r="H35" i="4"/>
  <c r="O35" i="4" s="1"/>
  <c r="N34" i="4"/>
  <c r="L34" i="4"/>
  <c r="H34" i="4"/>
  <c r="O34" i="4" s="1"/>
  <c r="N33" i="4"/>
  <c r="L33" i="4"/>
  <c r="H33" i="4"/>
  <c r="O33" i="4" s="1"/>
  <c r="N32" i="4"/>
  <c r="L32" i="4"/>
  <c r="H32" i="4"/>
  <c r="O32" i="4" s="1"/>
  <c r="N31" i="4"/>
  <c r="L31" i="4"/>
  <c r="H31" i="4"/>
  <c r="O31" i="4" s="1"/>
  <c r="N30" i="4"/>
  <c r="L30" i="4"/>
  <c r="H30" i="4"/>
  <c r="O30" i="4" s="1"/>
  <c r="N29" i="4"/>
  <c r="L29" i="4"/>
  <c r="H29" i="4"/>
  <c r="O29" i="4" s="1"/>
  <c r="N28" i="4"/>
  <c r="L28" i="4"/>
  <c r="H28" i="4"/>
  <c r="O28" i="4" s="1"/>
  <c r="N27" i="4"/>
  <c r="L27" i="4"/>
  <c r="H27" i="4"/>
  <c r="O27" i="4" s="1"/>
  <c r="L26" i="4"/>
  <c r="N26" i="4"/>
  <c r="H26" i="4"/>
  <c r="O26" i="4" s="1"/>
  <c r="N25" i="4"/>
  <c r="L25" i="4"/>
  <c r="H25" i="4"/>
  <c r="M25" i="4" s="1"/>
  <c r="N24" i="4"/>
  <c r="L24" i="4"/>
  <c r="H24" i="4"/>
  <c r="M24" i="4" s="1"/>
  <c r="N23" i="4"/>
  <c r="L23" i="4"/>
  <c r="H23" i="4"/>
  <c r="N22" i="4"/>
  <c r="L22" i="4"/>
  <c r="H22" i="4"/>
  <c r="M22" i="4" s="1"/>
  <c r="N21" i="4"/>
  <c r="L21" i="4"/>
  <c r="H21" i="4"/>
  <c r="M21" i="4" s="1"/>
  <c r="N20" i="4"/>
  <c r="L20" i="4"/>
  <c r="H20" i="4"/>
  <c r="N19" i="4"/>
  <c r="L19" i="4"/>
  <c r="H19" i="4"/>
  <c r="N18" i="4"/>
  <c r="L18" i="4"/>
  <c r="H18" i="4"/>
  <c r="N17" i="4"/>
  <c r="L17" i="4"/>
  <c r="H17" i="4"/>
  <c r="M17" i="4" s="1"/>
  <c r="N16" i="4"/>
  <c r="L16" i="4"/>
  <c r="H16" i="4"/>
  <c r="M16" i="4" s="1"/>
  <c r="N15" i="4"/>
  <c r="L15" i="4"/>
  <c r="H15" i="4"/>
  <c r="K34" i="3"/>
  <c r="K33" i="3"/>
  <c r="E33" i="3"/>
  <c r="O33" i="3" s="1"/>
  <c r="K32" i="3"/>
  <c r="N32" i="3"/>
  <c r="K31" i="3"/>
  <c r="E31" i="3"/>
  <c r="N31" i="3" s="1"/>
  <c r="K30" i="3"/>
  <c r="E30" i="3"/>
  <c r="N30" i="3" s="1"/>
  <c r="O29" i="3"/>
  <c r="N29" i="3"/>
  <c r="M29" i="3"/>
  <c r="L29" i="3"/>
  <c r="K29" i="3"/>
  <c r="O27" i="3"/>
  <c r="N27" i="3"/>
  <c r="L27" i="3"/>
  <c r="H27" i="3"/>
  <c r="K27" i="3" s="1"/>
  <c r="O26" i="3"/>
  <c r="N26" i="3"/>
  <c r="L26" i="3"/>
  <c r="H26" i="3"/>
  <c r="M26" i="3" s="1"/>
  <c r="O25" i="3"/>
  <c r="N25" i="3"/>
  <c r="L25" i="3"/>
  <c r="H25" i="3"/>
  <c r="M25" i="3" s="1"/>
  <c r="O24" i="3"/>
  <c r="L24" i="3"/>
  <c r="N24" i="3"/>
  <c r="H24" i="3"/>
  <c r="M24" i="3" s="1"/>
  <c r="O23" i="3"/>
  <c r="N23" i="3"/>
  <c r="M23" i="3"/>
  <c r="L23" i="3"/>
  <c r="H23" i="3"/>
  <c r="K23" i="3" s="1"/>
  <c r="O22" i="3"/>
  <c r="N22" i="3"/>
  <c r="M22" i="3"/>
  <c r="L22" i="3"/>
  <c r="H22" i="3"/>
  <c r="K22" i="3" s="1"/>
  <c r="O21" i="3"/>
  <c r="N21" i="3"/>
  <c r="L21" i="3"/>
  <c r="H21" i="3"/>
  <c r="M21" i="3" s="1"/>
  <c r="O20" i="3"/>
  <c r="N20" i="3"/>
  <c r="M20" i="3"/>
  <c r="L20" i="3"/>
  <c r="H20" i="3"/>
  <c r="K20" i="3" s="1"/>
  <c r="O19" i="3"/>
  <c r="N19" i="3"/>
  <c r="L19" i="3"/>
  <c r="H19" i="3"/>
  <c r="M19" i="3" s="1"/>
  <c r="O18" i="3"/>
  <c r="N18" i="3"/>
  <c r="L18" i="3"/>
  <c r="H18" i="3"/>
  <c r="M18" i="3" s="1"/>
  <c r="O17" i="3"/>
  <c r="N17" i="3"/>
  <c r="L17" i="3"/>
  <c r="H17" i="3"/>
  <c r="K17" i="3" s="1"/>
  <c r="O16" i="3"/>
  <c r="N16" i="3"/>
  <c r="L16" i="3"/>
  <c r="H16" i="3"/>
  <c r="M16" i="3" s="1"/>
  <c r="O15" i="3"/>
  <c r="N15" i="3"/>
  <c r="L15" i="3"/>
  <c r="H15" i="3"/>
  <c r="K15" i="3" s="1"/>
  <c r="E34" i="3" l="1"/>
  <c r="O34" i="3" s="1"/>
  <c r="O30" i="3"/>
  <c r="P24" i="3"/>
  <c r="P21" i="3"/>
  <c r="P36" i="6"/>
  <c r="P19" i="3"/>
  <c r="K21" i="3"/>
  <c r="O25" i="6"/>
  <c r="P25" i="6" s="1"/>
  <c r="P26" i="3"/>
  <c r="P29" i="3"/>
  <c r="P18" i="3"/>
  <c r="P22" i="3"/>
  <c r="O32" i="3"/>
  <c r="M15" i="3"/>
  <c r="P15" i="3" s="1"/>
  <c r="P20" i="3"/>
  <c r="P23" i="3"/>
  <c r="O31" i="3"/>
  <c r="E186" i="7"/>
  <c r="N186" i="7" s="1"/>
  <c r="K36" i="4"/>
  <c r="M16" i="5"/>
  <c r="P16" i="5" s="1"/>
  <c r="E30" i="5"/>
  <c r="N30" i="5" s="1"/>
  <c r="M28" i="6"/>
  <c r="P32" i="6"/>
  <c r="P35" i="6"/>
  <c r="H18" i="6"/>
  <c r="O18" i="6" s="1"/>
  <c r="M155" i="7"/>
  <c r="N121" i="7"/>
  <c r="E189" i="7"/>
  <c r="O189" i="7" s="1"/>
  <c r="P203" i="7"/>
  <c r="E56" i="7"/>
  <c r="O56" i="7" s="1"/>
  <c r="M53" i="7"/>
  <c r="O63" i="7"/>
  <c r="E71" i="7"/>
  <c r="E74" i="7" s="1"/>
  <c r="M74" i="7" s="1"/>
  <c r="K95" i="7"/>
  <c r="L63" i="7"/>
  <c r="L53" i="7"/>
  <c r="M115" i="7"/>
  <c r="P115" i="7" s="1"/>
  <c r="M63" i="7"/>
  <c r="N53" i="7"/>
  <c r="M15" i="7"/>
  <c r="O134" i="7"/>
  <c r="O172" i="7"/>
  <c r="M39" i="7"/>
  <c r="M174" i="7"/>
  <c r="M172" i="7"/>
  <c r="E42" i="7"/>
  <c r="O42" i="7" s="1"/>
  <c r="N39" i="7"/>
  <c r="N44" i="7"/>
  <c r="N118" i="7"/>
  <c r="P183" i="7"/>
  <c r="M44" i="7"/>
  <c r="E54" i="7"/>
  <c r="O54" i="7" s="1"/>
  <c r="E88" i="7"/>
  <c r="O88" i="7" s="1"/>
  <c r="M108" i="7"/>
  <c r="M123" i="7"/>
  <c r="P202" i="7"/>
  <c r="E136" i="7"/>
  <c r="O44" i="7"/>
  <c r="L180" i="7"/>
  <c r="E185" i="7"/>
  <c r="O185" i="7" s="1"/>
  <c r="L39" i="7"/>
  <c r="M118" i="7"/>
  <c r="O121" i="7"/>
  <c r="O196" i="7"/>
  <c r="K15" i="7"/>
  <c r="O15" i="7"/>
  <c r="N67" i="7"/>
  <c r="N174" i="7"/>
  <c r="O41" i="7"/>
  <c r="O87" i="7"/>
  <c r="L118" i="7"/>
  <c r="M121" i="7"/>
  <c r="M16" i="7"/>
  <c r="K130" i="7"/>
  <c r="M61" i="7"/>
  <c r="P61" i="7" s="1"/>
  <c r="P140" i="7"/>
  <c r="E165" i="7"/>
  <c r="E168" i="7" s="1"/>
  <c r="N168" i="7" s="1"/>
  <c r="K138" i="7"/>
  <c r="L179" i="7"/>
  <c r="O16" i="7"/>
  <c r="O31" i="7"/>
  <c r="O67" i="7"/>
  <c r="K115" i="7"/>
  <c r="O142" i="7"/>
  <c r="O160" i="7"/>
  <c r="O174" i="7"/>
  <c r="M179" i="7"/>
  <c r="P68" i="7"/>
  <c r="K77" i="7"/>
  <c r="K55" i="7"/>
  <c r="L67" i="7"/>
  <c r="O93" i="7"/>
  <c r="L142" i="7"/>
  <c r="E94" i="7"/>
  <c r="N94" i="7" s="1"/>
  <c r="M142" i="7"/>
  <c r="E65" i="7"/>
  <c r="N65" i="7" s="1"/>
  <c r="K99" i="7"/>
  <c r="N153" i="7"/>
  <c r="L174" i="7"/>
  <c r="N176" i="7"/>
  <c r="O179" i="7"/>
  <c r="L56" i="7"/>
  <c r="M56" i="7"/>
  <c r="K129" i="7"/>
  <c r="O129" i="7"/>
  <c r="K27" i="7"/>
  <c r="P198" i="7"/>
  <c r="P106" i="7"/>
  <c r="L55" i="7"/>
  <c r="L86" i="7"/>
  <c r="M105" i="7"/>
  <c r="N156" i="7"/>
  <c r="L181" i="7"/>
  <c r="K190" i="7"/>
  <c r="L21" i="7"/>
  <c r="N66" i="7"/>
  <c r="L66" i="7"/>
  <c r="L98" i="7"/>
  <c r="O126" i="7"/>
  <c r="P126" i="7" s="1"/>
  <c r="M129" i="7"/>
  <c r="M157" i="7"/>
  <c r="P197" i="7"/>
  <c r="O17" i="7"/>
  <c r="O21" i="7"/>
  <c r="M29" i="7"/>
  <c r="N40" i="7"/>
  <c r="M64" i="7"/>
  <c r="M66" i="7"/>
  <c r="O78" i="7"/>
  <c r="E89" i="7"/>
  <c r="N89" i="7" s="1"/>
  <c r="M98" i="7"/>
  <c r="O105" i="7"/>
  <c r="L120" i="7"/>
  <c r="K128" i="7"/>
  <c r="E164" i="7"/>
  <c r="N164" i="7" s="1"/>
  <c r="K180" i="7"/>
  <c r="N181" i="7"/>
  <c r="O30" i="7"/>
  <c r="P30" i="7" s="1"/>
  <c r="K38" i="7"/>
  <c r="K67" i="7"/>
  <c r="L47" i="7"/>
  <c r="P162" i="7"/>
  <c r="P182" i="7"/>
  <c r="K94" i="7"/>
  <c r="P200" i="7"/>
  <c r="L17" i="7"/>
  <c r="O124" i="7"/>
  <c r="P124" i="7" s="1"/>
  <c r="L16" i="7"/>
  <c r="N29" i="7"/>
  <c r="K49" i="7"/>
  <c r="L64" i="7"/>
  <c r="O66" i="7"/>
  <c r="L93" i="7"/>
  <c r="N98" i="7"/>
  <c r="M112" i="7"/>
  <c r="P112" i="7" s="1"/>
  <c r="M119" i="7"/>
  <c r="M120" i="7"/>
  <c r="L134" i="7"/>
  <c r="L155" i="7"/>
  <c r="L160" i="7"/>
  <c r="P199" i="7"/>
  <c r="M204" i="7"/>
  <c r="K108" i="7"/>
  <c r="M135" i="7"/>
  <c r="M38" i="7"/>
  <c r="P38" i="7" s="1"/>
  <c r="O151" i="7"/>
  <c r="P151" i="7" s="1"/>
  <c r="K169" i="7"/>
  <c r="M55" i="7"/>
  <c r="K84" i="7"/>
  <c r="N105" i="7"/>
  <c r="O108" i="7"/>
  <c r="O175" i="7"/>
  <c r="P175" i="7" s="1"/>
  <c r="M181" i="7"/>
  <c r="O29" i="7"/>
  <c r="K54" i="7"/>
  <c r="N64" i="7"/>
  <c r="L87" i="7"/>
  <c r="M93" i="7"/>
  <c r="M160" i="7"/>
  <c r="M180" i="7"/>
  <c r="N201" i="7"/>
  <c r="P201" i="7" s="1"/>
  <c r="E25" i="7"/>
  <c r="M18" i="7"/>
  <c r="L18" i="7"/>
  <c r="E19" i="7"/>
  <c r="O23" i="7"/>
  <c r="M23" i="7"/>
  <c r="L23" i="7"/>
  <c r="M127" i="7"/>
  <c r="O127" i="7"/>
  <c r="O176" i="7"/>
  <c r="M176" i="7"/>
  <c r="M70" i="7"/>
  <c r="N70" i="7"/>
  <c r="O70" i="7"/>
  <c r="L70" i="7"/>
  <c r="N46" i="7"/>
  <c r="M46" i="7"/>
  <c r="L46" i="7"/>
  <c r="O52" i="7"/>
  <c r="M111" i="7"/>
  <c r="O111" i="7"/>
  <c r="N21" i="7"/>
  <c r="M21" i="7"/>
  <c r="O32" i="7"/>
  <c r="N32" i="7"/>
  <c r="L32" i="7"/>
  <c r="K34" i="7"/>
  <c r="L77" i="7"/>
  <c r="O77" i="7"/>
  <c r="M77" i="7"/>
  <c r="K80" i="7"/>
  <c r="P141" i="7"/>
  <c r="N23" i="7"/>
  <c r="N85" i="7"/>
  <c r="O85" i="7"/>
  <c r="M85" i="7"/>
  <c r="L85" i="7"/>
  <c r="N18" i="7"/>
  <c r="N24" i="7"/>
  <c r="M24" i="7"/>
  <c r="M76" i="7"/>
  <c r="O22" i="7"/>
  <c r="N22" i="7"/>
  <c r="L22" i="7"/>
  <c r="M133" i="7"/>
  <c r="O133" i="7"/>
  <c r="M154" i="7"/>
  <c r="O154" i="7"/>
  <c r="E20" i="7"/>
  <c r="O33" i="7"/>
  <c r="M33" i="7"/>
  <c r="L33" i="7"/>
  <c r="K73" i="7"/>
  <c r="K120" i="7"/>
  <c r="N120" i="7"/>
  <c r="M122" i="7"/>
  <c r="N122" i="7"/>
  <c r="L122" i="7"/>
  <c r="O122" i="7"/>
  <c r="O184" i="7"/>
  <c r="L184" i="7"/>
  <c r="N184" i="7"/>
  <c r="M184" i="7"/>
  <c r="O18" i="7"/>
  <c r="K35" i="7"/>
  <c r="K31" i="7"/>
  <c r="N33" i="7"/>
  <c r="M52" i="7"/>
  <c r="O76" i="7"/>
  <c r="O90" i="7"/>
  <c r="N90" i="7"/>
  <c r="E91" i="7"/>
  <c r="M90" i="7"/>
  <c r="L90" i="7"/>
  <c r="L24" i="7"/>
  <c r="K26" i="7"/>
  <c r="L40" i="7"/>
  <c r="M40" i="7"/>
  <c r="L44" i="7"/>
  <c r="E45" i="7"/>
  <c r="K48" i="7"/>
  <c r="N52" i="7"/>
  <c r="O104" i="7"/>
  <c r="N104" i="7"/>
  <c r="L104" i="7"/>
  <c r="M104" i="7"/>
  <c r="N79" i="7"/>
  <c r="O79" i="7"/>
  <c r="M92" i="7"/>
  <c r="L92" i="7"/>
  <c r="N92" i="7"/>
  <c r="O117" i="7"/>
  <c r="O123" i="7"/>
  <c r="O143" i="7"/>
  <c r="L143" i="7"/>
  <c r="N143" i="7"/>
  <c r="O163" i="7"/>
  <c r="N163" i="7"/>
  <c r="M163" i="7"/>
  <c r="O193" i="7"/>
  <c r="M193" i="7"/>
  <c r="N196" i="7"/>
  <c r="M196" i="7"/>
  <c r="L62" i="7"/>
  <c r="N62" i="7"/>
  <c r="L69" i="7"/>
  <c r="N69" i="7"/>
  <c r="N75" i="7"/>
  <c r="M75" i="7"/>
  <c r="K87" i="7"/>
  <c r="O113" i="7"/>
  <c r="M113" i="7"/>
  <c r="O132" i="7"/>
  <c r="M132" i="7"/>
  <c r="L137" i="7"/>
  <c r="O137" i="7"/>
  <c r="M158" i="7"/>
  <c r="L158" i="7"/>
  <c r="O158" i="7"/>
  <c r="K41" i="7"/>
  <c r="E48" i="7"/>
  <c r="K72" i="7"/>
  <c r="O86" i="7"/>
  <c r="N86" i="7"/>
  <c r="O92" i="7"/>
  <c r="M117" i="7"/>
  <c r="O118" i="7"/>
  <c r="L135" i="7"/>
  <c r="M139" i="7"/>
  <c r="L139" i="7"/>
  <c r="O139" i="7"/>
  <c r="M143" i="7"/>
  <c r="L163" i="7"/>
  <c r="L196" i="7"/>
  <c r="M87" i="7"/>
  <c r="N134" i="7"/>
  <c r="E144" i="7"/>
  <c r="E147" i="7" s="1"/>
  <c r="O147" i="7" s="1"/>
  <c r="M134" i="7"/>
  <c r="M177" i="7"/>
  <c r="L177" i="7"/>
  <c r="O177" i="7"/>
  <c r="M17" i="7"/>
  <c r="M31" i="7"/>
  <c r="M41" i="7"/>
  <c r="K61" i="7"/>
  <c r="O62" i="7"/>
  <c r="O64" i="7"/>
  <c r="O69" i="7"/>
  <c r="O75" i="7"/>
  <c r="M79" i="7"/>
  <c r="L132" i="7"/>
  <c r="N135" i="7"/>
  <c r="N137" i="7"/>
  <c r="O153" i="7"/>
  <c r="N78" i="7"/>
  <c r="M78" i="7"/>
  <c r="L79" i="7"/>
  <c r="N41" i="7"/>
  <c r="E43" i="7"/>
  <c r="O47" i="7"/>
  <c r="M47" i="7"/>
  <c r="M107" i="7"/>
  <c r="O107" i="7"/>
  <c r="K112" i="7"/>
  <c r="M114" i="7"/>
  <c r="N132" i="7"/>
  <c r="K134" i="7"/>
  <c r="E138" i="7"/>
  <c r="K144" i="7"/>
  <c r="M153" i="7"/>
  <c r="K155" i="7"/>
  <c r="K159" i="7"/>
  <c r="N177" i="7"/>
  <c r="K186" i="7"/>
  <c r="K148" i="7"/>
  <c r="O195" i="7"/>
  <c r="P195" i="7" s="1"/>
  <c r="M103" i="7"/>
  <c r="N119" i="7"/>
  <c r="L119" i="7"/>
  <c r="E159" i="7"/>
  <c r="N155" i="7"/>
  <c r="P161" i="7"/>
  <c r="K165" i="7"/>
  <c r="E188" i="7"/>
  <c r="E190" i="7"/>
  <c r="L186" i="7"/>
  <c r="E187" i="7"/>
  <c r="M186" i="7"/>
  <c r="K132" i="7"/>
  <c r="O156" i="7"/>
  <c r="L156" i="7"/>
  <c r="O204" i="7"/>
  <c r="L204" i="7"/>
  <c r="L176" i="7"/>
  <c r="M23" i="6"/>
  <c r="H15" i="6"/>
  <c r="M15" i="6" s="1"/>
  <c r="N23" i="6"/>
  <c r="P28" i="6"/>
  <c r="H22" i="6"/>
  <c r="O22" i="6" s="1"/>
  <c r="M27" i="6"/>
  <c r="P27" i="6" s="1"/>
  <c r="K29" i="6"/>
  <c r="M33" i="6"/>
  <c r="L25" i="6"/>
  <c r="L15" i="6"/>
  <c r="M25" i="6"/>
  <c r="L37" i="6"/>
  <c r="L19" i="6"/>
  <c r="P30" i="6"/>
  <c r="M37" i="6"/>
  <c r="L21" i="6"/>
  <c r="H21" i="6"/>
  <c r="L16" i="6"/>
  <c r="H16" i="6"/>
  <c r="L17" i="6"/>
  <c r="H17" i="6"/>
  <c r="L20" i="6"/>
  <c r="H20" i="6"/>
  <c r="P31" i="6"/>
  <c r="M19" i="6"/>
  <c r="O19" i="6"/>
  <c r="O23" i="6"/>
  <c r="K23" i="6"/>
  <c r="N17" i="6"/>
  <c r="N21" i="6"/>
  <c r="M29" i="6"/>
  <c r="P29" i="6" s="1"/>
  <c r="N33" i="6"/>
  <c r="O33" i="6"/>
  <c r="K36" i="6"/>
  <c r="K35" i="6"/>
  <c r="K30" i="6"/>
  <c r="K32" i="6"/>
  <c r="N37" i="6"/>
  <c r="N16" i="6"/>
  <c r="N20" i="6"/>
  <c r="L33" i="6"/>
  <c r="K31" i="6"/>
  <c r="O26" i="5"/>
  <c r="M28" i="5"/>
  <c r="K24" i="5"/>
  <c r="K15" i="5"/>
  <c r="O27" i="5"/>
  <c r="P18" i="5"/>
  <c r="M17" i="5"/>
  <c r="P17" i="5" s="1"/>
  <c r="N28" i="5"/>
  <c r="E32" i="5"/>
  <c r="N26" i="5"/>
  <c r="K31" i="5"/>
  <c r="E29" i="5"/>
  <c r="O28" i="5"/>
  <c r="O25" i="5"/>
  <c r="P25" i="5" s="1"/>
  <c r="O19" i="5"/>
  <c r="P19" i="5" s="1"/>
  <c r="O20" i="5"/>
  <c r="P20" i="5" s="1"/>
  <c r="O21" i="5"/>
  <c r="P21" i="5" s="1"/>
  <c r="O22" i="5"/>
  <c r="P22" i="5" s="1"/>
  <c r="L26" i="5"/>
  <c r="M27" i="5"/>
  <c r="L28" i="5"/>
  <c r="N31" i="5"/>
  <c r="K16" i="5"/>
  <c r="L27" i="5"/>
  <c r="M82" i="4"/>
  <c r="O82" i="4"/>
  <c r="P82" i="4" s="1"/>
  <c r="K31" i="4"/>
  <c r="M46" i="4"/>
  <c r="K35" i="4"/>
  <c r="M33" i="4"/>
  <c r="P33" i="4" s="1"/>
  <c r="M35" i="4"/>
  <c r="M49" i="4"/>
  <c r="P85" i="4"/>
  <c r="M31" i="4"/>
  <c r="P31" i="4" s="1"/>
  <c r="K47" i="4"/>
  <c r="O47" i="4"/>
  <c r="K46" i="4"/>
  <c r="O46" i="4"/>
  <c r="P46" i="4" s="1"/>
  <c r="M28" i="4"/>
  <c r="P28" i="4" s="1"/>
  <c r="P86" i="4"/>
  <c r="M30" i="4"/>
  <c r="P30" i="4" s="1"/>
  <c r="K27" i="4"/>
  <c r="N66" i="4"/>
  <c r="M34" i="4"/>
  <c r="P34" i="4" s="1"/>
  <c r="P36" i="4"/>
  <c r="O66" i="4"/>
  <c r="K43" i="4"/>
  <c r="L66" i="4"/>
  <c r="K85" i="4"/>
  <c r="M32" i="4"/>
  <c r="P32" i="4" s="1"/>
  <c r="M40" i="4"/>
  <c r="M27" i="4"/>
  <c r="P27" i="4" s="1"/>
  <c r="M29" i="4"/>
  <c r="P29" i="4" s="1"/>
  <c r="M47" i="4"/>
  <c r="M65" i="4"/>
  <c r="P65" i="4" s="1"/>
  <c r="M37" i="4"/>
  <c r="P37" i="4" s="1"/>
  <c r="O49" i="4"/>
  <c r="P35" i="4"/>
  <c r="O43" i="4"/>
  <c r="P43" i="4" s="1"/>
  <c r="O50" i="4"/>
  <c r="P50" i="4" s="1"/>
  <c r="O15" i="4"/>
  <c r="O20" i="4"/>
  <c r="K26" i="4"/>
  <c r="K30" i="4"/>
  <c r="O19" i="4"/>
  <c r="O38" i="4"/>
  <c r="O16" i="4"/>
  <c r="P16" i="4" s="1"/>
  <c r="O24" i="4"/>
  <c r="P24" i="4" s="1"/>
  <c r="K28" i="4"/>
  <c r="K32" i="4"/>
  <c r="M92" i="4"/>
  <c r="M19" i="4"/>
  <c r="O21" i="4"/>
  <c r="P21" i="4" s="1"/>
  <c r="M89" i="4"/>
  <c r="P89" i="4" s="1"/>
  <c r="K89" i="4"/>
  <c r="O92" i="4"/>
  <c r="M97" i="4"/>
  <c r="O97" i="4"/>
  <c r="M100" i="4"/>
  <c r="P100" i="4" s="1"/>
  <c r="K100" i="4"/>
  <c r="O18" i="4"/>
  <c r="M94" i="4"/>
  <c r="O23" i="4"/>
  <c r="M91" i="4"/>
  <c r="O94" i="4"/>
  <c r="P94" i="4" s="1"/>
  <c r="K34" i="4"/>
  <c r="O91" i="4"/>
  <c r="M96" i="4"/>
  <c r="O96" i="4"/>
  <c r="M15" i="4"/>
  <c r="O17" i="4"/>
  <c r="P17" i="4" s="1"/>
  <c r="M23" i="4"/>
  <c r="O25" i="4"/>
  <c r="P25" i="4" s="1"/>
  <c r="M38" i="4"/>
  <c r="M93" i="4"/>
  <c r="M20" i="4"/>
  <c r="O22" i="4"/>
  <c r="P22" i="4" s="1"/>
  <c r="M26" i="4"/>
  <c r="P26" i="4" s="1"/>
  <c r="K29" i="4"/>
  <c r="K33" i="4"/>
  <c r="N38" i="4"/>
  <c r="O40" i="4"/>
  <c r="O87" i="4"/>
  <c r="M87" i="4"/>
  <c r="N87" i="4"/>
  <c r="L87" i="4"/>
  <c r="M90" i="4"/>
  <c r="P90" i="4" s="1"/>
  <c r="K90" i="4"/>
  <c r="O93" i="4"/>
  <c r="M98" i="4"/>
  <c r="O98" i="4"/>
  <c r="N101" i="4"/>
  <c r="O101" i="4"/>
  <c r="M101" i="4"/>
  <c r="L101" i="4"/>
  <c r="M99" i="4"/>
  <c r="P99" i="4" s="1"/>
  <c r="K99" i="4"/>
  <c r="M18" i="4"/>
  <c r="M95" i="4"/>
  <c r="P95" i="4" s="1"/>
  <c r="K95" i="4"/>
  <c r="O68" i="4"/>
  <c r="P68" i="4" s="1"/>
  <c r="O69" i="4"/>
  <c r="P69" i="4" s="1"/>
  <c r="O70" i="4"/>
  <c r="P70" i="4" s="1"/>
  <c r="O71" i="4"/>
  <c r="P71" i="4" s="1"/>
  <c r="O72" i="4"/>
  <c r="P72" i="4" s="1"/>
  <c r="O73" i="4"/>
  <c r="P73" i="4" s="1"/>
  <c r="O74" i="4"/>
  <c r="P74" i="4" s="1"/>
  <c r="O75" i="4"/>
  <c r="P75" i="4" s="1"/>
  <c r="O76" i="4"/>
  <c r="P76" i="4" s="1"/>
  <c r="O77" i="4"/>
  <c r="P77" i="4" s="1"/>
  <c r="O78" i="4"/>
  <c r="P78" i="4" s="1"/>
  <c r="K86" i="4"/>
  <c r="O51" i="4"/>
  <c r="P51" i="4" s="1"/>
  <c r="O52" i="4"/>
  <c r="P52" i="4" s="1"/>
  <c r="O53" i="4"/>
  <c r="P53" i="4" s="1"/>
  <c r="O54" i="4"/>
  <c r="P54" i="4" s="1"/>
  <c r="O55" i="4"/>
  <c r="P55" i="4" s="1"/>
  <c r="O56" i="4"/>
  <c r="P56" i="4" s="1"/>
  <c r="O57" i="4"/>
  <c r="P57" i="4" s="1"/>
  <c r="O58" i="4"/>
  <c r="P58" i="4" s="1"/>
  <c r="O59" i="4"/>
  <c r="P59" i="4" s="1"/>
  <c r="O60" i="4"/>
  <c r="P60" i="4" s="1"/>
  <c r="O61" i="4"/>
  <c r="P61" i="4" s="1"/>
  <c r="O62" i="4"/>
  <c r="P62" i="4" s="1"/>
  <c r="O63" i="4"/>
  <c r="P63" i="4" s="1"/>
  <c r="O64" i="4"/>
  <c r="P64" i="4" s="1"/>
  <c r="K75" i="4"/>
  <c r="L33" i="3"/>
  <c r="L30" i="3"/>
  <c r="L31" i="3"/>
  <c r="L32" i="3"/>
  <c r="M33" i="3"/>
  <c r="N34" i="3"/>
  <c r="L34" i="3"/>
  <c r="M30" i="3"/>
  <c r="M31" i="3"/>
  <c r="M32" i="3"/>
  <c r="N33" i="3"/>
  <c r="P16" i="3"/>
  <c r="P25" i="3"/>
  <c r="K18" i="3"/>
  <c r="K26" i="3"/>
  <c r="K25" i="3"/>
  <c r="M27" i="3"/>
  <c r="P27" i="3" s="1"/>
  <c r="M17" i="3"/>
  <c r="P17" i="3" s="1"/>
  <c r="K24" i="3"/>
  <c r="K19" i="3"/>
  <c r="K16" i="3"/>
  <c r="P47" i="4" l="1"/>
  <c r="O15" i="6"/>
  <c r="P15" i="6" s="1"/>
  <c r="M34" i="3"/>
  <c r="P34" i="3" s="1"/>
  <c r="P30" i="3"/>
  <c r="P33" i="3"/>
  <c r="L30" i="5"/>
  <c r="P32" i="3"/>
  <c r="P31" i="3"/>
  <c r="O30" i="5"/>
  <c r="M30" i="5"/>
  <c r="M18" i="6"/>
  <c r="P18" i="6" s="1"/>
  <c r="M71" i="7"/>
  <c r="P97" i="4"/>
  <c r="P49" i="4"/>
  <c r="P26" i="5"/>
  <c r="L18" i="6"/>
  <c r="M189" i="7"/>
  <c r="P15" i="7"/>
  <c r="P63" i="7"/>
  <c r="P174" i="7"/>
  <c r="N189" i="7"/>
  <c r="P189" i="7" s="1"/>
  <c r="M54" i="7"/>
  <c r="L189" i="7"/>
  <c r="P160" i="7"/>
  <c r="P172" i="7"/>
  <c r="P107" i="7"/>
  <c r="P40" i="7"/>
  <c r="N56" i="7"/>
  <c r="P56" i="7" s="1"/>
  <c r="M89" i="7"/>
  <c r="L89" i="7"/>
  <c r="O89" i="7"/>
  <c r="P89" i="7" s="1"/>
  <c r="E80" i="7"/>
  <c r="N80" i="7" s="1"/>
  <c r="L65" i="7"/>
  <c r="P87" i="7"/>
  <c r="M168" i="7"/>
  <c r="P16" i="7"/>
  <c r="E73" i="7"/>
  <c r="N71" i="7"/>
  <c r="P181" i="7"/>
  <c r="N74" i="7"/>
  <c r="P74" i="7" s="1"/>
  <c r="N55" i="7"/>
  <c r="O71" i="7"/>
  <c r="L71" i="7"/>
  <c r="E72" i="7"/>
  <c r="M72" i="7" s="1"/>
  <c r="O74" i="7"/>
  <c r="P93" i="7"/>
  <c r="O168" i="7"/>
  <c r="P168" i="7" s="1"/>
  <c r="L74" i="7"/>
  <c r="P179" i="7"/>
  <c r="L168" i="7"/>
  <c r="P70" i="7"/>
  <c r="P142" i="7"/>
  <c r="P135" i="7"/>
  <c r="P44" i="7"/>
  <c r="M164" i="7"/>
  <c r="K175" i="7"/>
  <c r="P120" i="7"/>
  <c r="O164" i="7"/>
  <c r="L54" i="7"/>
  <c r="O65" i="7"/>
  <c r="P129" i="7"/>
  <c r="P39" i="7"/>
  <c r="M42" i="7"/>
  <c r="K71" i="7"/>
  <c r="N42" i="7"/>
  <c r="M88" i="7"/>
  <c r="P29" i="7"/>
  <c r="O155" i="7"/>
  <c r="P155" i="7" s="1"/>
  <c r="P108" i="7"/>
  <c r="L88" i="7"/>
  <c r="L147" i="7"/>
  <c r="L42" i="7"/>
  <c r="P55" i="7"/>
  <c r="N185" i="7"/>
  <c r="P118" i="7"/>
  <c r="N88" i="7"/>
  <c r="O130" i="7"/>
  <c r="P130" i="7" s="1"/>
  <c r="E99" i="7"/>
  <c r="O99" i="7" s="1"/>
  <c r="E96" i="7"/>
  <c r="L96" i="7" s="1"/>
  <c r="E97" i="7"/>
  <c r="N97" i="7" s="1"/>
  <c r="P67" i="7"/>
  <c r="E95" i="7"/>
  <c r="N95" i="7" s="1"/>
  <c r="M165" i="7"/>
  <c r="P121" i="7"/>
  <c r="N147" i="7"/>
  <c r="N180" i="7"/>
  <c r="O180" i="7"/>
  <c r="O94" i="7"/>
  <c r="L94" i="7"/>
  <c r="P17" i="7"/>
  <c r="M94" i="7"/>
  <c r="L185" i="7"/>
  <c r="K113" i="7"/>
  <c r="M185" i="7"/>
  <c r="P123" i="7"/>
  <c r="P76" i="7"/>
  <c r="P98" i="7"/>
  <c r="K126" i="7"/>
  <c r="M147" i="7"/>
  <c r="N31" i="7"/>
  <c r="P31" i="7" s="1"/>
  <c r="L157" i="7"/>
  <c r="P78" i="7"/>
  <c r="E169" i="7"/>
  <c r="O169" i="7" s="1"/>
  <c r="P92" i="7"/>
  <c r="P137" i="7"/>
  <c r="P196" i="7"/>
  <c r="K117" i="7"/>
  <c r="E166" i="7"/>
  <c r="L166" i="7" s="1"/>
  <c r="N77" i="7"/>
  <c r="P77" i="7" s="1"/>
  <c r="P21" i="7"/>
  <c r="P46" i="7"/>
  <c r="P193" i="7"/>
  <c r="P18" i="7"/>
  <c r="L165" i="7"/>
  <c r="P143" i="7"/>
  <c r="K111" i="7"/>
  <c r="P41" i="7"/>
  <c r="O165" i="7"/>
  <c r="M65" i="7"/>
  <c r="P66" i="7"/>
  <c r="N157" i="7"/>
  <c r="E167" i="7"/>
  <c r="L167" i="7" s="1"/>
  <c r="O128" i="7"/>
  <c r="P128" i="7" s="1"/>
  <c r="N54" i="7"/>
  <c r="O157" i="7"/>
  <c r="O84" i="7"/>
  <c r="P84" i="7" s="1"/>
  <c r="N165" i="7"/>
  <c r="K124" i="7"/>
  <c r="P204" i="7"/>
  <c r="K153" i="7"/>
  <c r="P75" i="7"/>
  <c r="P113" i="7"/>
  <c r="K174" i="7"/>
  <c r="P64" i="7"/>
  <c r="K151" i="7"/>
  <c r="P156" i="7"/>
  <c r="L164" i="7"/>
  <c r="P122" i="7"/>
  <c r="P133" i="7"/>
  <c r="K127" i="7"/>
  <c r="K195" i="7"/>
  <c r="K64" i="7"/>
  <c r="P134" i="7"/>
  <c r="P22" i="7"/>
  <c r="K30" i="7"/>
  <c r="P184" i="7"/>
  <c r="P105" i="7"/>
  <c r="P119" i="7"/>
  <c r="P90" i="7"/>
  <c r="K154" i="7"/>
  <c r="P24" i="7"/>
  <c r="P176" i="7"/>
  <c r="O53" i="7"/>
  <c r="P53" i="7" s="1"/>
  <c r="K53" i="7"/>
  <c r="P158" i="7"/>
  <c r="L91" i="7"/>
  <c r="M91" i="7"/>
  <c r="N91" i="7"/>
  <c r="O91" i="7"/>
  <c r="N20" i="7"/>
  <c r="M20" i="7"/>
  <c r="O20" i="7"/>
  <c r="L20" i="7"/>
  <c r="O186" i="7"/>
  <c r="P186" i="7" s="1"/>
  <c r="M159" i="7"/>
  <c r="L159" i="7"/>
  <c r="O159" i="7"/>
  <c r="N159" i="7"/>
  <c r="P62" i="7"/>
  <c r="O109" i="7"/>
  <c r="P109" i="7" s="1"/>
  <c r="K109" i="7"/>
  <c r="K193" i="7"/>
  <c r="P79" i="7"/>
  <c r="P104" i="7"/>
  <c r="P154" i="7"/>
  <c r="P85" i="7"/>
  <c r="P127" i="7"/>
  <c r="P32" i="7"/>
  <c r="N188" i="7"/>
  <c r="O188" i="7"/>
  <c r="M188" i="7"/>
  <c r="L188" i="7"/>
  <c r="N144" i="7"/>
  <c r="E146" i="7"/>
  <c r="O144" i="7"/>
  <c r="E145" i="7"/>
  <c r="E148" i="7"/>
  <c r="M144" i="7"/>
  <c r="L144" i="7"/>
  <c r="P86" i="7"/>
  <c r="N48" i="7"/>
  <c r="M48" i="7"/>
  <c r="E51" i="7"/>
  <c r="E57" i="7"/>
  <c r="E49" i="7"/>
  <c r="E50" i="7"/>
  <c r="O48" i="7"/>
  <c r="L48" i="7"/>
  <c r="P153" i="7"/>
  <c r="O136" i="7"/>
  <c r="L136" i="7"/>
  <c r="N136" i="7"/>
  <c r="M136" i="7"/>
  <c r="K107" i="7"/>
  <c r="P47" i="7"/>
  <c r="P177" i="7"/>
  <c r="L73" i="7"/>
  <c r="O73" i="7"/>
  <c r="N73" i="7"/>
  <c r="M73" i="7"/>
  <c r="M45" i="7"/>
  <c r="O45" i="7"/>
  <c r="N45" i="7"/>
  <c r="L45" i="7"/>
  <c r="K133" i="7"/>
  <c r="K176" i="7"/>
  <c r="P23" i="7"/>
  <c r="E28" i="7"/>
  <c r="E27" i="7"/>
  <c r="O25" i="7"/>
  <c r="M25" i="7"/>
  <c r="L25" i="7"/>
  <c r="E34" i="7"/>
  <c r="E26" i="7"/>
  <c r="N25" i="7"/>
  <c r="E191" i="7"/>
  <c r="E192" i="7"/>
  <c r="M190" i="7"/>
  <c r="N190" i="7"/>
  <c r="O190" i="7"/>
  <c r="L190" i="7"/>
  <c r="O114" i="7"/>
  <c r="P114" i="7" s="1"/>
  <c r="K114" i="7"/>
  <c r="K76" i="7"/>
  <c r="P52" i="7"/>
  <c r="O103" i="7"/>
  <c r="P103" i="7" s="1"/>
  <c r="K103" i="7"/>
  <c r="L138" i="7"/>
  <c r="N138" i="7"/>
  <c r="O138" i="7"/>
  <c r="M138" i="7"/>
  <c r="M178" i="7"/>
  <c r="L178" i="7"/>
  <c r="O178" i="7"/>
  <c r="N178" i="7"/>
  <c r="M187" i="7"/>
  <c r="O187" i="7"/>
  <c r="N187" i="7"/>
  <c r="L187" i="7"/>
  <c r="L43" i="7"/>
  <c r="O43" i="7"/>
  <c r="N43" i="7"/>
  <c r="M43" i="7"/>
  <c r="P69" i="7"/>
  <c r="P139" i="7"/>
  <c r="M80" i="7"/>
  <c r="P132" i="7"/>
  <c r="P163" i="7"/>
  <c r="P117" i="7"/>
  <c r="P33" i="7"/>
  <c r="P111" i="7"/>
  <c r="N19" i="7"/>
  <c r="M19" i="7"/>
  <c r="O19" i="7"/>
  <c r="L19" i="7"/>
  <c r="P37" i="6"/>
  <c r="L22" i="6"/>
  <c r="M22" i="6"/>
  <c r="P22" i="6" s="1"/>
  <c r="P23" i="6"/>
  <c r="P33" i="6"/>
  <c r="K15" i="6"/>
  <c r="K19" i="6"/>
  <c r="M20" i="6"/>
  <c r="O20" i="6"/>
  <c r="P19" i="6"/>
  <c r="M17" i="6"/>
  <c r="O17" i="6"/>
  <c r="M16" i="6"/>
  <c r="O16" i="6"/>
  <c r="K22" i="6"/>
  <c r="M21" i="6"/>
  <c r="O21" i="6"/>
  <c r="K18" i="6"/>
  <c r="E34" i="5"/>
  <c r="N34" i="5" s="1"/>
  <c r="O15" i="5"/>
  <c r="P15" i="5" s="1"/>
  <c r="O31" i="5"/>
  <c r="P27" i="5"/>
  <c r="E33" i="5"/>
  <c r="N33" i="5" s="1"/>
  <c r="O24" i="5"/>
  <c r="P24" i="5" s="1"/>
  <c r="P28" i="5"/>
  <c r="K19" i="5"/>
  <c r="M31" i="5"/>
  <c r="L31" i="5"/>
  <c r="K21" i="5"/>
  <c r="M29" i="5"/>
  <c r="L29" i="5"/>
  <c r="O29" i="5"/>
  <c r="N29" i="5"/>
  <c r="K22" i="5"/>
  <c r="O32" i="5"/>
  <c r="M32" i="5"/>
  <c r="L32" i="5"/>
  <c r="N32" i="5"/>
  <c r="K28" i="5"/>
  <c r="K25" i="5"/>
  <c r="K20" i="5"/>
  <c r="K82" i="4"/>
  <c r="K72" i="4"/>
  <c r="K41" i="4"/>
  <c r="O41" i="4"/>
  <c r="P41" i="4" s="1"/>
  <c r="K73" i="4"/>
  <c r="K70" i="4"/>
  <c r="P98" i="4"/>
  <c r="K16" i="4"/>
  <c r="K45" i="4"/>
  <c r="O45" i="4"/>
  <c r="P45" i="4" s="1"/>
  <c r="K50" i="4"/>
  <c r="P93" i="4"/>
  <c r="K54" i="4"/>
  <c r="P19" i="4"/>
  <c r="K77" i="4"/>
  <c r="P66" i="4"/>
  <c r="K98" i="4"/>
  <c r="P23" i="4"/>
  <c r="P40" i="4"/>
  <c r="P18" i="4"/>
  <c r="K57" i="4"/>
  <c r="K44" i="4"/>
  <c r="O44" i="4"/>
  <c r="P44" i="4" s="1"/>
  <c r="K48" i="4"/>
  <c r="O48" i="4"/>
  <c r="P48" i="4" s="1"/>
  <c r="K74" i="4"/>
  <c r="P87" i="4"/>
  <c r="K97" i="4"/>
  <c r="K42" i="4"/>
  <c r="O42" i="4"/>
  <c r="P42" i="4" s="1"/>
  <c r="K64" i="4"/>
  <c r="P92" i="4"/>
  <c r="K20" i="4"/>
  <c r="K68" i="4"/>
  <c r="K62" i="4"/>
  <c r="P96" i="4"/>
  <c r="K55" i="4"/>
  <c r="K53" i="4"/>
  <c r="K61" i="4"/>
  <c r="K52" i="4"/>
  <c r="K60" i="4"/>
  <c r="K84" i="4"/>
  <c r="O84" i="4"/>
  <c r="P84" i="4" s="1"/>
  <c r="K80" i="4"/>
  <c r="O80" i="4"/>
  <c r="P80" i="4" s="1"/>
  <c r="K93" i="4"/>
  <c r="K63" i="4"/>
  <c r="K92" i="4"/>
  <c r="P15" i="4"/>
  <c r="K79" i="4"/>
  <c r="O79" i="4"/>
  <c r="P79" i="4" s="1"/>
  <c r="K17" i="4"/>
  <c r="K91" i="4"/>
  <c r="K59" i="4"/>
  <c r="P38" i="4"/>
  <c r="K15" i="4"/>
  <c r="K96" i="4"/>
  <c r="K18" i="4"/>
  <c r="K78" i="4"/>
  <c r="K69" i="4"/>
  <c r="K76" i="4"/>
  <c r="K83" i="4"/>
  <c r="O83" i="4"/>
  <c r="P83" i="4" s="1"/>
  <c r="K56" i="4"/>
  <c r="K22" i="4"/>
  <c r="K25" i="4"/>
  <c r="P91" i="4"/>
  <c r="K94" i="4"/>
  <c r="K21" i="4"/>
  <c r="K24" i="4"/>
  <c r="P20" i="4"/>
  <c r="K19" i="4"/>
  <c r="K71" i="4"/>
  <c r="P101" i="4"/>
  <c r="K58" i="4"/>
  <c r="K23" i="4"/>
  <c r="K81" i="4"/>
  <c r="O81" i="4"/>
  <c r="P81" i="4" s="1"/>
  <c r="K51" i="4"/>
  <c r="P65" i="7" l="1"/>
  <c r="P30" i="5"/>
  <c r="P180" i="7"/>
  <c r="P54" i="7"/>
  <c r="P185" i="7"/>
  <c r="P71" i="7"/>
  <c r="L33" i="5"/>
  <c r="P164" i="7"/>
  <c r="E82" i="7"/>
  <c r="L80" i="7"/>
  <c r="E81" i="7"/>
  <c r="O81" i="7" s="1"/>
  <c r="O80" i="7"/>
  <c r="P80" i="7" s="1"/>
  <c r="L72" i="7"/>
  <c r="O72" i="7"/>
  <c r="L97" i="7"/>
  <c r="N72" i="7"/>
  <c r="M97" i="7"/>
  <c r="P88" i="7"/>
  <c r="P94" i="7"/>
  <c r="M96" i="7"/>
  <c r="P157" i="7"/>
  <c r="O96" i="7"/>
  <c r="L99" i="7"/>
  <c r="O95" i="7"/>
  <c r="M167" i="7"/>
  <c r="L95" i="7"/>
  <c r="N99" i="7"/>
  <c r="P99" i="7" s="1"/>
  <c r="E100" i="7"/>
  <c r="N100" i="7" s="1"/>
  <c r="E101" i="7"/>
  <c r="N101" i="7" s="1"/>
  <c r="M99" i="7"/>
  <c r="P42" i="7"/>
  <c r="M95" i="7"/>
  <c r="N169" i="7"/>
  <c r="N167" i="7"/>
  <c r="O97" i="7"/>
  <c r="N96" i="7"/>
  <c r="M169" i="7"/>
  <c r="N166" i="7"/>
  <c r="P147" i="7"/>
  <c r="O167" i="7"/>
  <c r="L169" i="7"/>
  <c r="O166" i="7"/>
  <c r="P165" i="7"/>
  <c r="E170" i="7"/>
  <c r="M170" i="7" s="1"/>
  <c r="P43" i="7"/>
  <c r="P190" i="7"/>
  <c r="E171" i="7"/>
  <c r="O171" i="7" s="1"/>
  <c r="P91" i="7"/>
  <c r="M166" i="7"/>
  <c r="P136" i="7"/>
  <c r="P19" i="7"/>
  <c r="N49" i="7"/>
  <c r="O49" i="7"/>
  <c r="M49" i="7"/>
  <c r="L49" i="7"/>
  <c r="P188" i="7"/>
  <c r="P25" i="7"/>
  <c r="P45" i="7"/>
  <c r="O57" i="7"/>
  <c r="E59" i="7"/>
  <c r="L57" i="7"/>
  <c r="E58" i="7"/>
  <c r="N57" i="7"/>
  <c r="M57" i="7"/>
  <c r="O148" i="7"/>
  <c r="N148" i="7"/>
  <c r="L148" i="7"/>
  <c r="M148" i="7"/>
  <c r="E150" i="7"/>
  <c r="E149" i="7"/>
  <c r="P159" i="7"/>
  <c r="P138" i="7"/>
  <c r="O192" i="7"/>
  <c r="M192" i="7"/>
  <c r="L192" i="7"/>
  <c r="N192" i="7"/>
  <c r="N27" i="7"/>
  <c r="M27" i="7"/>
  <c r="L27" i="7"/>
  <c r="O27" i="7"/>
  <c r="O51" i="7"/>
  <c r="N51" i="7"/>
  <c r="M51" i="7"/>
  <c r="L51" i="7"/>
  <c r="O145" i="7"/>
  <c r="N145" i="7"/>
  <c r="M145" i="7"/>
  <c r="L145" i="7"/>
  <c r="P187" i="7"/>
  <c r="N191" i="7"/>
  <c r="O191" i="7"/>
  <c r="M191" i="7"/>
  <c r="L191" i="7"/>
  <c r="O28" i="7"/>
  <c r="M28" i="7"/>
  <c r="L28" i="7"/>
  <c r="N28" i="7"/>
  <c r="P144" i="7"/>
  <c r="N50" i="7"/>
  <c r="O50" i="7"/>
  <c r="L50" i="7"/>
  <c r="M50" i="7"/>
  <c r="L146" i="7"/>
  <c r="N146" i="7"/>
  <c r="M146" i="7"/>
  <c r="O146" i="7"/>
  <c r="M81" i="7"/>
  <c r="O26" i="7"/>
  <c r="M26" i="7"/>
  <c r="L26" i="7"/>
  <c r="N26" i="7"/>
  <c r="P73" i="7"/>
  <c r="M82" i="7"/>
  <c r="N82" i="7"/>
  <c r="L82" i="7"/>
  <c r="O82" i="7"/>
  <c r="P178" i="7"/>
  <c r="E36" i="7"/>
  <c r="O34" i="7"/>
  <c r="M34" i="7"/>
  <c r="L34" i="7"/>
  <c r="E35" i="7"/>
  <c r="N34" i="7"/>
  <c r="P48" i="7"/>
  <c r="P20" i="7"/>
  <c r="K21" i="6"/>
  <c r="P20" i="6"/>
  <c r="P16" i="6"/>
  <c r="P17" i="6"/>
  <c r="K17" i="6"/>
  <c r="K20" i="6"/>
  <c r="P21" i="6"/>
  <c r="K16" i="6"/>
  <c r="L34" i="5"/>
  <c r="M34" i="5"/>
  <c r="O34" i="5"/>
  <c r="P34" i="5" s="1"/>
  <c r="O33" i="5"/>
  <c r="P31" i="5"/>
  <c r="M33" i="5"/>
  <c r="P32" i="5"/>
  <c r="P29" i="5"/>
  <c r="N81" i="7" l="1"/>
  <c r="L81" i="7"/>
  <c r="P96" i="7"/>
  <c r="P72" i="7"/>
  <c r="P97" i="7"/>
  <c r="P95" i="7"/>
  <c r="O100" i="7"/>
  <c r="N171" i="7"/>
  <c r="L100" i="7"/>
  <c r="P166" i="7"/>
  <c r="M100" i="7"/>
  <c r="P169" i="7"/>
  <c r="P167" i="7"/>
  <c r="M101" i="7"/>
  <c r="L101" i="7"/>
  <c r="O101" i="7"/>
  <c r="O170" i="7"/>
  <c r="L170" i="7"/>
  <c r="N170" i="7"/>
  <c r="M171" i="7"/>
  <c r="P146" i="7"/>
  <c r="L171" i="7"/>
  <c r="P192" i="7"/>
  <c r="P82" i="7"/>
  <c r="P27" i="7"/>
  <c r="P26" i="7"/>
  <c r="P28" i="7"/>
  <c r="O59" i="7"/>
  <c r="N59" i="7"/>
  <c r="M59" i="7"/>
  <c r="L59" i="7"/>
  <c r="N35" i="7"/>
  <c r="M35" i="7"/>
  <c r="L35" i="7"/>
  <c r="O35" i="7"/>
  <c r="P57" i="7"/>
  <c r="P49" i="7"/>
  <c r="P81" i="7"/>
  <c r="P50" i="7"/>
  <c r="P51" i="7"/>
  <c r="P191" i="7"/>
  <c r="P148" i="7"/>
  <c r="P34" i="7"/>
  <c r="M150" i="7"/>
  <c r="O150" i="7"/>
  <c r="N150" i="7"/>
  <c r="L150" i="7"/>
  <c r="N36" i="7"/>
  <c r="M36" i="7"/>
  <c r="L36" i="7"/>
  <c r="O36" i="7"/>
  <c r="P145" i="7"/>
  <c r="O149" i="7"/>
  <c r="L149" i="7"/>
  <c r="N149" i="7"/>
  <c r="M149" i="7"/>
  <c r="O58" i="7"/>
  <c r="N58" i="7"/>
  <c r="M58" i="7"/>
  <c r="L58" i="7"/>
  <c r="P33" i="5"/>
  <c r="P101" i="7" l="1"/>
  <c r="P171" i="7"/>
  <c r="P170" i="7"/>
  <c r="P100" i="7"/>
  <c r="P36" i="7"/>
  <c r="P149" i="7"/>
  <c r="P150" i="7"/>
  <c r="P58" i="7"/>
  <c r="P35" i="7"/>
  <c r="P59" i="7"/>
  <c r="C15" i="2"/>
  <c r="C46" i="5" l="1"/>
  <c r="C43" i="5"/>
  <c r="C38" i="5"/>
  <c r="C49" i="6"/>
  <c r="C46" i="6"/>
  <c r="C41" i="6"/>
  <c r="C216" i="7"/>
  <c r="C213" i="7"/>
  <c r="C208" i="7"/>
  <c r="C336" i="8"/>
  <c r="C333" i="8"/>
  <c r="C328" i="8"/>
  <c r="C178" i="9"/>
  <c r="C175" i="9"/>
  <c r="C170" i="9"/>
  <c r="C331" i="10"/>
  <c r="C328" i="10"/>
  <c r="C323" i="10"/>
  <c r="C40" i="11"/>
  <c r="C37" i="11"/>
  <c r="C32" i="11"/>
  <c r="C29" i="12"/>
  <c r="C26" i="12"/>
  <c r="C21" i="12"/>
  <c r="C112" i="13"/>
  <c r="C109" i="13"/>
  <c r="C104" i="13"/>
  <c r="C51" i="14"/>
  <c r="C48" i="14"/>
  <c r="C113" i="4"/>
  <c r="C110" i="4"/>
  <c r="C105" i="4"/>
  <c r="C46" i="3"/>
  <c r="C43" i="3"/>
  <c r="C38" i="3"/>
  <c r="A40" i="2"/>
  <c r="A46" i="14" s="1"/>
  <c r="A41" i="5" l="1"/>
  <c r="P10" i="5" s="1"/>
  <c r="A94" i="15"/>
  <c r="P10" i="15" s="1"/>
  <c r="A41" i="3"/>
  <c r="P10" i="3" s="1"/>
  <c r="P10" i="14"/>
  <c r="A24" i="12"/>
  <c r="P10" i="12" s="1"/>
  <c r="A326" i="10"/>
  <c r="P10" i="10" s="1"/>
  <c r="A331" i="8"/>
  <c r="P10" i="8" s="1"/>
  <c r="A44" i="6"/>
  <c r="P10" i="6" s="1"/>
  <c r="A108" i="4"/>
  <c r="P10" i="4" s="1"/>
  <c r="A107" i="13"/>
  <c r="P10" i="13" s="1"/>
  <c r="A35" i="11"/>
  <c r="P10" i="11" s="1"/>
  <c r="A173" i="9"/>
  <c r="P10" i="9" s="1"/>
  <c r="A211" i="7"/>
  <c r="P10" i="7" s="1"/>
  <c r="C25" i="2"/>
  <c r="D9" i="2"/>
  <c r="D8" i="15" s="1"/>
  <c r="D8" i="2"/>
  <c r="D7" i="15" s="1"/>
  <c r="D7" i="2"/>
  <c r="D6" i="15" s="1"/>
  <c r="D6" i="2"/>
  <c r="D5" i="15" s="1"/>
  <c r="D7" i="14" l="1"/>
  <c r="D7" i="13"/>
  <c r="D7" i="12"/>
  <c r="D7" i="11"/>
  <c r="D7" i="10"/>
  <c r="D7" i="9"/>
  <c r="D7" i="8"/>
  <c r="D7" i="7"/>
  <c r="D7" i="6"/>
  <c r="D7" i="5"/>
  <c r="D7" i="4"/>
  <c r="D8" i="14"/>
  <c r="D8" i="13"/>
  <c r="D8" i="12"/>
  <c r="D8" i="11"/>
  <c r="D8" i="10"/>
  <c r="D8" i="9"/>
  <c r="D8" i="8"/>
  <c r="D8" i="7"/>
  <c r="D8" i="6"/>
  <c r="D8" i="5"/>
  <c r="D8" i="4"/>
  <c r="D5" i="14"/>
  <c r="D5" i="13"/>
  <c r="D5" i="12"/>
  <c r="D5" i="11"/>
  <c r="D5" i="10"/>
  <c r="D5" i="9"/>
  <c r="D5" i="8"/>
  <c r="D5" i="7"/>
  <c r="D5" i="6"/>
  <c r="D5" i="5"/>
  <c r="D5" i="4"/>
  <c r="D6" i="14"/>
  <c r="D6" i="13"/>
  <c r="D6" i="12"/>
  <c r="D6" i="11"/>
  <c r="D6" i="10"/>
  <c r="D6" i="9"/>
  <c r="D6" i="8"/>
  <c r="D6" i="7"/>
  <c r="D6" i="6"/>
  <c r="D6" i="5"/>
  <c r="D6" i="4"/>
  <c r="D6" i="3"/>
  <c r="D7" i="3"/>
  <c r="D5" i="3"/>
  <c r="D8" i="3"/>
  <c r="C27" i="2"/>
  <c r="C26" i="2"/>
  <c r="C21" i="2"/>
  <c r="C20" i="2"/>
  <c r="C19" i="2"/>
  <c r="C18" i="2"/>
  <c r="C17" i="2"/>
  <c r="C16" i="2"/>
  <c r="N35" i="5" l="1"/>
  <c r="G17" i="2" s="1"/>
  <c r="L35" i="5"/>
  <c r="I17" i="2" s="1"/>
  <c r="N102" i="4"/>
  <c r="G16" i="2" s="1"/>
  <c r="L102" i="4"/>
  <c r="I16" i="2" s="1"/>
  <c r="L101" i="13" l="1"/>
  <c r="I26" i="2" s="1"/>
  <c r="I27" i="2"/>
  <c r="G27" i="2"/>
  <c r="N38" i="6"/>
  <c r="G18" i="2" s="1"/>
  <c r="N101" i="13"/>
  <c r="G26" i="2" s="1"/>
  <c r="L38" i="6"/>
  <c r="I18" i="2" s="1"/>
  <c r="N29" i="11"/>
  <c r="G24" i="2" s="1"/>
  <c r="N205" i="7"/>
  <c r="G19" i="2" s="1"/>
  <c r="L205" i="7"/>
  <c r="I19" i="2" s="1"/>
  <c r="N325" i="8"/>
  <c r="G20" i="2" s="1"/>
  <c r="L167" i="9"/>
  <c r="I21" i="2" s="1"/>
  <c r="L320" i="10"/>
  <c r="I22" i="2" s="1"/>
  <c r="N18" i="12"/>
  <c r="G25" i="2" s="1"/>
  <c r="L18" i="12"/>
  <c r="I25" i="2" s="1"/>
  <c r="N167" i="9"/>
  <c r="G21" i="2" s="1"/>
  <c r="N320" i="10"/>
  <c r="G22" i="2" s="1"/>
  <c r="L325" i="8"/>
  <c r="I20" i="2" s="1"/>
  <c r="L29" i="11"/>
  <c r="I24" i="2" s="1"/>
  <c r="M205" i="7"/>
  <c r="F19" i="2" s="1"/>
  <c r="M167" i="9"/>
  <c r="F21" i="2" s="1"/>
  <c r="M38" i="6"/>
  <c r="F18" i="2" s="1"/>
  <c r="M35" i="5"/>
  <c r="F17" i="2" s="1"/>
  <c r="M325" i="8"/>
  <c r="F20" i="2" s="1"/>
  <c r="M102" i="4"/>
  <c r="F16" i="2" s="1"/>
  <c r="M320" i="10" l="1"/>
  <c r="F22" i="2" s="1"/>
  <c r="M18" i="12"/>
  <c r="F25" i="2" s="1"/>
  <c r="M29" i="11"/>
  <c r="F24" i="2" s="1"/>
  <c r="F27" i="2"/>
  <c r="M101" i="13"/>
  <c r="F26" i="2" s="1"/>
  <c r="O205" i="7"/>
  <c r="H19" i="2" s="1"/>
  <c r="P102" i="4"/>
  <c r="E16" i="2" s="1"/>
  <c r="O102" i="4"/>
  <c r="H16" i="2" s="1"/>
  <c r="O320" i="10"/>
  <c r="H22" i="2" s="1"/>
  <c r="P320" i="10"/>
  <c r="E22" i="2" s="1"/>
  <c r="O325" i="8"/>
  <c r="H20" i="2" s="1"/>
  <c r="P325" i="8"/>
  <c r="N9" i="8" s="1"/>
  <c r="O38" i="6"/>
  <c r="H18" i="2" s="1"/>
  <c r="O35" i="5"/>
  <c r="H17" i="2" s="1"/>
  <c r="P35" i="5"/>
  <c r="E17" i="2" s="1"/>
  <c r="P205" i="7"/>
  <c r="E19" i="2" s="1"/>
  <c r="P38" i="6"/>
  <c r="N9" i="6" s="1"/>
  <c r="N9" i="4" l="1"/>
  <c r="O167" i="9"/>
  <c r="H21" i="2" s="1"/>
  <c r="H27" i="2"/>
  <c r="O29" i="11"/>
  <c r="H24" i="2" s="1"/>
  <c r="P167" i="9"/>
  <c r="N9" i="9" s="1"/>
  <c r="O18" i="12"/>
  <c r="H25" i="2" s="1"/>
  <c r="P18" i="12"/>
  <c r="N9" i="12" s="1"/>
  <c r="N9" i="14"/>
  <c r="O101" i="13"/>
  <c r="H26" i="2" s="1"/>
  <c r="E18" i="2"/>
  <c r="N9" i="5"/>
  <c r="P29" i="11"/>
  <c r="E24" i="2" s="1"/>
  <c r="P101" i="13"/>
  <c r="N9" i="13" s="1"/>
  <c r="N9" i="10"/>
  <c r="N9" i="7"/>
  <c r="E20" i="2"/>
  <c r="E21" i="2" l="1"/>
  <c r="E25" i="2"/>
  <c r="E27" i="2"/>
  <c r="N9" i="11"/>
  <c r="E26" i="2"/>
  <c r="H14" i="3" l="1"/>
  <c r="N28" i="3"/>
  <c r="L28" i="3"/>
  <c r="H28" i="3"/>
  <c r="N14" i="3"/>
  <c r="M14" i="3"/>
  <c r="L14" i="3"/>
  <c r="M28" i="3" l="1"/>
  <c r="O28" i="3"/>
  <c r="O14" i="3"/>
  <c r="P14" i="3" s="1"/>
  <c r="L35" i="3"/>
  <c r="N35" i="3"/>
  <c r="P28" i="3" l="1"/>
  <c r="K28" i="3"/>
  <c r="G15" i="2"/>
  <c r="K14" i="3"/>
  <c r="I15" i="2"/>
  <c r="M35" i="3"/>
  <c r="P35" i="3" l="1"/>
  <c r="O35" i="3"/>
  <c r="F15" i="2"/>
  <c r="H15" i="2" l="1"/>
  <c r="N9" i="3"/>
  <c r="E15" i="2"/>
  <c r="A23" i="2" l="1"/>
  <c r="B23" i="2" s="1"/>
  <c r="A24" i="2"/>
  <c r="A27" i="2"/>
  <c r="E28" i="2"/>
  <c r="E31" i="2" s="1"/>
  <c r="A25" i="2"/>
  <c r="A26" i="2"/>
  <c r="A15" i="2"/>
  <c r="D1" i="3" s="1"/>
  <c r="A17" i="2"/>
  <c r="A16" i="2"/>
  <c r="A19" i="2"/>
  <c r="A22" i="2"/>
  <c r="A18" i="2"/>
  <c r="A20" i="2"/>
  <c r="A21" i="2"/>
  <c r="I28" i="2"/>
  <c r="H28" i="2"/>
  <c r="G28" i="2"/>
  <c r="F28" i="2"/>
  <c r="B15" i="2" l="1"/>
  <c r="D1" i="12"/>
  <c r="B25" i="2"/>
  <c r="D1" i="14"/>
  <c r="B27" i="2"/>
  <c r="D1" i="13"/>
  <c r="B26" i="2"/>
  <c r="B24" i="2"/>
  <c r="D1" i="11"/>
  <c r="B22" i="2"/>
  <c r="D1" i="15"/>
  <c r="D1" i="10"/>
  <c r="B21" i="2"/>
  <c r="D1" i="9"/>
  <c r="B20" i="2"/>
  <c r="D1" i="8"/>
  <c r="D1" i="6"/>
  <c r="B18" i="2"/>
  <c r="B19" i="2"/>
  <c r="D1" i="7"/>
  <c r="D1" i="4"/>
  <c r="B16" i="2"/>
  <c r="B17" i="2"/>
  <c r="D1" i="5"/>
  <c r="D11" i="2"/>
  <c r="E29" i="2"/>
  <c r="E30" i="2" s="1"/>
  <c r="E32" i="2" l="1"/>
  <c r="C19" i="1" s="1"/>
  <c r="D10" i="2" l="1"/>
  <c r="C26" i="1"/>
  <c r="C28" i="1" s="1"/>
</calcChain>
</file>

<file path=xl/sharedStrings.xml><?xml version="1.0" encoding="utf-8"?>
<sst xmlns="http://schemas.openxmlformats.org/spreadsheetml/2006/main" count="3681" uniqueCount="704">
  <si>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</si>
  <si>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</si>
  <si>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</si>
  <si>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</si>
  <si>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</si>
  <si>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</si>
  <si>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</si>
  <si>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</si>
  <si>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</si>
  <si>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</si>
  <si>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</si>
  <si>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</si>
  <si>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</si>
  <si>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</si>
  <si>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</si>
  <si>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</si>
  <si>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</si>
  <si>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</si>
  <si>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</si>
  <si>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</si>
  <si>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</si>
  <si>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</si>
  <si>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</si>
  <si>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</si>
  <si>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</si>
  <si>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</si>
  <si>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</si>
  <si>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</si>
  <si>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</si>
  <si>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</si>
  <si>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</si>
  <si>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</si>
  <si>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</si>
  <si>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</si>
  <si>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</si>
  <si>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</si>
  <si>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</si>
  <si>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</si>
  <si>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</si>
  <si>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</si>
  <si>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</si>
  <si>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</si>
  <si>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</si>
  <si>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</si>
  <si>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</si>
  <si>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</si>
  <si>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</si>
  <si>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</si>
  <si>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</si>
  <si>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</si>
  <si>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</si>
  <si>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</si>
  <si>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</si>
  <si>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</si>
  <si>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</si>
  <si>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>DAUDZDZĪVOKĻU DZĪVOJAMĀ ĒKA</t>
  </si>
  <si>
    <t>ENERGOEFEKTIVITĀTES PAAUGSTINĀŠANA DAUDZDZĪVOKĻU DZĪVOJAMAI ĒKAI</t>
  </si>
  <si>
    <t>ENERGOEFEKTIVITĀTES PAAUGSTINĀŠANA 
DAUDZDZĪVOKĻU DZĪVOJAMAI ĒKAI</t>
  </si>
  <si>
    <t>BŪVLAUKUMA SAGATAVOŠANA UN UZTURĒŠANA</t>
  </si>
  <si>
    <t>1. BŪVLAUKUMA SAGATAVOŠANA</t>
  </si>
  <si>
    <t>Līgumcena</t>
  </si>
  <si>
    <t>Pagaidu žoga ar vārtiem montāža, demontāža</t>
  </si>
  <si>
    <t>tek.m</t>
  </si>
  <si>
    <t>Bio tualetes montāža, demontāža</t>
  </si>
  <si>
    <t>gab</t>
  </si>
  <si>
    <t>Moduļa tipa konteinera montāža, demontāža</t>
  </si>
  <si>
    <t>Būvtāfeles montāža</t>
  </si>
  <si>
    <t>Ugunsdzēsības stenda izveide</t>
  </si>
  <si>
    <t>kompl</t>
  </si>
  <si>
    <t>Pagaidu EL sadalnes montāža</t>
  </si>
  <si>
    <t>Pagaidu EL prožektoru montāža</t>
  </si>
  <si>
    <t>Pagaidu ūdensvada ierīkošana</t>
  </si>
  <si>
    <t>Beramo materiālu noliktavas izveide</t>
  </si>
  <si>
    <t>m2</t>
  </si>
  <si>
    <t>Pagaidu jumtiņu virs ieejam izveide</t>
  </si>
  <si>
    <t>Būvniecības sastatņu ar sietu montāža un demontāža</t>
  </si>
  <si>
    <t>Citi būvlaukuma izveides darbi</t>
  </si>
  <si>
    <t>2. BŪVLAUKUMA UZTURĒŠANA</t>
  </si>
  <si>
    <t>Bio tualetes apkalpošana 4 reizes mēnesi un noma</t>
  </si>
  <si>
    <t>Modula tipa konteinera noma</t>
  </si>
  <si>
    <t>Pagaidu žoga ar vārtiem noma</t>
  </si>
  <si>
    <t>Sastatņu noma</t>
  </si>
  <si>
    <t>Elektrības izmaksas</t>
  </si>
  <si>
    <t>Būvgružu konteineru izvešanas un utilizācijas izmaksas</t>
  </si>
  <si>
    <t>DEMONTĀŽAS DARBI</t>
  </si>
  <si>
    <t>1. DEMONTĀŽAS DARBI ASĪS 1 -- 2</t>
  </si>
  <si>
    <t>Citi demontāžas darbi</t>
  </si>
  <si>
    <t>cilv/st</t>
  </si>
  <si>
    <t>Būvgružu savākšana, iekraušana, izvešana un utilizācija</t>
  </si>
  <si>
    <t>m3</t>
  </si>
  <si>
    <t>2. DEMONTĀŽAS DARBI ASĪS 2 -- 1</t>
  </si>
  <si>
    <t>3. DEMONTĀŽAS DARBI ASĪS A -- B</t>
  </si>
  <si>
    <t>4. DEMONTĀŽAS DARBI ASĪS B -- A</t>
  </si>
  <si>
    <t>PAGRABA STĀVA SILTINĀŠANAS DARBI</t>
  </si>
  <si>
    <t>1. SAGATAVOŠANAS DARBI</t>
  </si>
  <si>
    <t>2. PAGRABA GRIESTU SILTINĀŠANA</t>
  </si>
  <si>
    <t>l</t>
  </si>
  <si>
    <t>Siltumizolācijas montāža uz pagraba griestiem, 100 mm</t>
  </si>
  <si>
    <t>Grunts Ceresit CT 17 (vai ekvivalents)</t>
  </si>
  <si>
    <t>kg</t>
  </si>
  <si>
    <t>Siltumizolācijas armēšana (armējošā java izlīdzināma un atstājama ka nobeiguma slānis)</t>
  </si>
  <si>
    <t>Stiklašķiedras siets 160g/m2</t>
  </si>
  <si>
    <t>Siltumizolācijas montāža, 150 mm</t>
  </si>
  <si>
    <t>Palīgmateriāli un palīgdarbi</t>
  </si>
  <si>
    <t>LOGI UN DURVIS</t>
  </si>
  <si>
    <t>FASĀDES APDARE</t>
  </si>
  <si>
    <t>1. FASĀDES SILTINĀŠANA. ASĪS  1--2</t>
  </si>
  <si>
    <t>Ārsienas plaknes līdzināšana, slāņa biezums līdz 5 mm (ja nepieciešams)</t>
  </si>
  <si>
    <t>Cementa - kaļķu apmetums Ceresit ZKP (vai ekvivalents)</t>
  </si>
  <si>
    <t xml:space="preserve"> kg</t>
  </si>
  <si>
    <t>Vates tablete dībeļa priekšā</t>
  </si>
  <si>
    <t>Perimetra profils ar lāseni, 150 mm, AL</t>
  </si>
  <si>
    <t>Siltumizolācijas armēšana</t>
  </si>
  <si>
    <t>Grunts Ceresit CT 16 (vai ekvivalents)</t>
  </si>
  <si>
    <t>Līmjava Ceresit CT 190 (vai ekvivalents)</t>
  </si>
  <si>
    <t>Stūris ēku siltināšanai</t>
  </si>
  <si>
    <t>Siltumizolācijas papildus armēšana. I.kategorija</t>
  </si>
  <si>
    <t>Dekoratīvā apmetuma ierīkošana</t>
  </si>
  <si>
    <t>Grunts CT 16 (vai ekvivalents)</t>
  </si>
  <si>
    <t>Palīgmateriāli</t>
  </si>
  <si>
    <t>Stiprinājumi un palīgmateriāli</t>
  </si>
  <si>
    <t>Putupolistirola tablete dībeļa priekšā</t>
  </si>
  <si>
    <t>COKOLA APDARE</t>
  </si>
  <si>
    <t>Uzziežama bitumena mastikas vertikāla hidroizolācija</t>
  </si>
  <si>
    <t>Siltumizolācijas montāža, 100 mm</t>
  </si>
  <si>
    <t>Poliuretāna līme Ceresit CT 84 (vai ekvivalents)</t>
  </si>
  <si>
    <t>balons</t>
  </si>
  <si>
    <t>Līmjava</t>
  </si>
  <si>
    <t>Ailes gruntēšana, špaktelēšana, slīpēšana</t>
  </si>
  <si>
    <t>LABIEKARTOŠANAS DARBI</t>
  </si>
  <si>
    <t>Betona bruģakmens "Prizma", 60 mm</t>
  </si>
  <si>
    <t>Ietves apmales 80*200*1000 mm</t>
  </si>
  <si>
    <t>Apbetonējums apmalei</t>
  </si>
  <si>
    <t>2. ZĀLIENA ATJAUNOŠANA.</t>
  </si>
  <si>
    <t>Melnzeme</t>
  </si>
  <si>
    <t>APKURE</t>
  </si>
  <si>
    <t>1. APKURE</t>
  </si>
  <si>
    <t>Vecās sistēmas demontāža</t>
  </si>
  <si>
    <t>objekts</t>
  </si>
  <si>
    <t>Siltumizolācijas fasondaļas</t>
  </si>
  <si>
    <t>Kompensātori</t>
  </si>
  <si>
    <t>Nekustīgie balsti</t>
  </si>
  <si>
    <t>Montāžas komplekts</t>
  </si>
  <si>
    <t xml:space="preserve">Radiatoru vietas uzlabošana (špaktelēšana, krāsošana) </t>
  </si>
  <si>
    <t>Individuālais siltuma sadalītājs (alokātors)</t>
  </si>
  <si>
    <t>Siltuma sadalītāja datu savācējs</t>
  </si>
  <si>
    <t>Apkures sistēmas palaišanu un ieregulēšanu</t>
  </si>
  <si>
    <t>Armatūras marķēšana</t>
  </si>
  <si>
    <t>Pieslēgums SM</t>
  </si>
  <si>
    <t>ZIBENSAIZSARDZĪBA</t>
  </si>
  <si>
    <t>1. ZIBENSAIZSARDZĪBA. DARBS</t>
  </si>
  <si>
    <t>Palīgmateriālu montāža</t>
  </si>
  <si>
    <t>2. ZIBENSAIZSARDZĪBA. MATERIĀLI</t>
  </si>
  <si>
    <t>Stieples turētājs pa sienu, jumtu</t>
  </si>
  <si>
    <t>Mērījumu klemme stieple/stieple</t>
  </si>
  <si>
    <t>Palīgmateriāli, neuzskaitītie materiāli</t>
  </si>
  <si>
    <t>Pasta iela 34, Jelgava, ēkas kad. apz. 0900 001 0177 001</t>
  </si>
  <si>
    <t>Drošības zīmes ar montāžu uz pagaidu žoga</t>
  </si>
  <si>
    <t>Betona apmales demontāža (tajā skaitā pagrabu logu atbalstsienas un logu šahtu restes)</t>
  </si>
  <si>
    <t>Pagraba logu demontāža</t>
  </si>
  <si>
    <t>Kabeļa ar siltuma detektoru rūpīga demontāža. Vēlāk kabeli ievietot kabeļu caurulē un saglabāt zem projektējamās siltumizolācijas, siltuma detektora iznest uz fasādi.</t>
  </si>
  <si>
    <t>Reklāmas apgaismojuma kabeļa rūpīga demontāža. Vēlāk kabeli ievietot kabeļu caurulē un saglabāt zem projektējamās siltumizolācijas.</t>
  </si>
  <si>
    <t>Zibensnovedēja stieples demontāža</t>
  </si>
  <si>
    <t>Jumta skārda lāseņa demontāža</t>
  </si>
  <si>
    <t>Jumta teknes un notekas demontāža</t>
  </si>
  <si>
    <t>Lodžiju aizstiklojuma demontāža un to palīgelementu</t>
  </si>
  <si>
    <t>Metāla restes demontāža un to palīgelementu</t>
  </si>
  <si>
    <t>Cinkotu veikala margu rūpīga demontāža. Glabāšana. Pirms montāžas atpakaļ attīrīt, gruntēt un pārkrāsot pelēkā toņi</t>
  </si>
  <si>
    <t>Pie sienas piekārtas reklāmas ''Audumi'' rūpīga demontāža. Reklāmas rāmja konstrukcijas iznešana virs projektējamās fasādes. Glabāšana. Pirms montāžas atpakaļ rāmja konstrukciju attīrīt, gruntēt un pārkrāsot pelēkā toņi</t>
  </si>
  <si>
    <t>Satelītantenas rūpīga demontāža un pārcelšana uz jumtu, paredzot kabeļa (40 m) pagarināšanu un jaunus stiprinājumus</t>
  </si>
  <si>
    <t>Ēkas adreses plāksnes rūpīga demontāža un iznešana virs projektējamās fasādes, paredzot jaunus stiprinājumus</t>
  </si>
  <si>
    <t>Cokola ventilācijas restu demontāža</t>
  </si>
  <si>
    <t>Kāpņu kosntrukcijas attīrīšana, gruntēšana un krāsošana pelēkā toņi (AR-1, poz.14)</t>
  </si>
  <si>
    <t>Uzstādīt revīzijas lūku (elektrokabelis bez patērētāja), (AR-1, poz.15)</t>
  </si>
  <si>
    <t>Izejas durvju no bēniņiem uz jumta demontāža</t>
  </si>
  <si>
    <t>Parapeta skārda nosegdetaļu demontāža</t>
  </si>
  <si>
    <t>Esošo logu demontāža</t>
  </si>
  <si>
    <t>Jumta margu attīrīšana, gruntēšana un krāsošana pelēkā tonī (AR-1, poz.19)</t>
  </si>
  <si>
    <t>Esošo flīžu grīdas demontāža ''AUDUMI'' veikala ieejas mezglā</t>
  </si>
  <si>
    <t>Lodžiju margu demontāža. Dzelzbetona paneļi 6000*820*80 mm, svars apmēram 800 kg. Demontēt arī stiprinājuma elementus visus</t>
  </si>
  <si>
    <t>Ieejas mezgla skārda nosegdetaļu (vējmalas, lāseņi utt.) demontāža</t>
  </si>
  <si>
    <t>Ieejas mezgla margu-1 demontāža</t>
  </si>
  <si>
    <t>Ieejas mezgla margu-2 rūpīga demontāža,  attīrīšana, gruntēšana un krāsošana  ar pretkorozijas krāsu pelēkā toņi</t>
  </si>
  <si>
    <t>Esošo ārdurvju demontāža, (ieskaitot durvis uz pagrabu)</t>
  </si>
  <si>
    <t>Esošo durvju demontāža lodzijās</t>
  </si>
  <si>
    <t>Esošo durvju ar logu demontāža lodzijās</t>
  </si>
  <si>
    <t>Satelītantenas rūpīga demontāža un pārcelšana uz jumtu, paredzot kabeļa (25 m) pagarināšanu un jaunus stiprinājumus</t>
  </si>
  <si>
    <t>Izvirzijuma skārda nosegdetaļu demontāža (AR-2, poz.12)</t>
  </si>
  <si>
    <t>Stiprināto pie fasādes žalūziju demontāža</t>
  </si>
  <si>
    <t>Ieejas mezgla kāpņu konstrukcijas demontāža</t>
  </si>
  <si>
    <t>Betona plākšņu laukuma ieejas mezglā priekšpusē demontāža</t>
  </si>
  <si>
    <t>Videokameras rūpīga demontāža, pārceļot virs projektējamās sienas apdares, nepieciešamības gadijumā pagarinot kabeļi, ievietojot cauruli</t>
  </si>
  <si>
    <t>Jumta margu attīrīšana, gruntēšana un krāsošana pelēkā tonī (AR-2, poz.19)</t>
  </si>
  <si>
    <t>Metāla caurules attīrīt no rūsas un pārkrāsot ar pretkorozijas krāsu pelēkā tonī (AR-2, poz.20), augstums 2500 mm, diametrs 1000 mm</t>
  </si>
  <si>
    <t>Uzstādīt revīzijas lūku (elektrokabelis bez patērētāja), (AR-2, poz.21)</t>
  </si>
  <si>
    <t>Daļēja pandusa margu demontāža uz būvniecības laiku, pēc darbu pabeigšanas montāža atpakaļ, nepieciešamības gadijumā veikt remontu</t>
  </si>
  <si>
    <t>Galvenā ieejas mezgla betona plātņu  un betonējuma pie atkritumu savākšanas telpas demontāža</t>
  </si>
  <si>
    <t>Apgaismojuma lampas rūpīga demontāža, ieskaitot  kabeļi, un montāža virs projektējamās fasādes</t>
  </si>
  <si>
    <t>Reklāmas apgaismojuma kabeļa un prožektora rūpīga demontāža. Vēlāk kabeli ievietot kabeļu caurulē un saglabāt zem projektējamās siltumizolācijas. Prožektorus iznest virs projektējamā siltumizolācijas slāņa, 4 prožektori.</t>
  </si>
  <si>
    <t>Ap nozarkārbu uzstādit revīzijas lūku</t>
  </si>
  <si>
    <t>Zibensnovedēja leņķprofila demontāža</t>
  </si>
  <si>
    <t>Reklāmas ''Zobārstniecība'' rāmja konstrukcijas rūpīga demontāža un montāža atpakaļ virs projektēmās fasādes, paredzot jaunus stiprinājumus, nepieciešamības gadījuma remonts</t>
  </si>
  <si>
    <t>Uzjumteņa konstrukcijas rūpīga demontāža un montāža atpakaļ virs projektēmās fasādes, paredzot jaunus stiprinājumus un pārkrāsošana ar pretkorozijas krāsu pelēkā tonī, nepieciešamības gadījuma remonts</t>
  </si>
  <si>
    <t>Ēkas adreses plāksnītes rūpīga demontāža un montāža atpakaļ virs projektēmās fasādes, paredzot jaunus stiprinājumus, nepieciešamības gadījuma remonts</t>
  </si>
  <si>
    <t>Ēkas karoga turētāja rūpīga demontāža, attīrīšana no rūsas, pārkrāsošana ar pretkorozijas krāsu, toni precizējot vēlāk,  un montāža atpakaļ virs projektēmās fasādes, paredzot jaunus stiprinājumus, nepieciešamības gadījuma remonts</t>
  </si>
  <si>
    <t>Miskastes rūpīga demontāža un montāža atpakaļ virs projektēmās fasādes, paredzot jaunus stiprinājumus, nepieciešamības gadījuma remonts</t>
  </si>
  <si>
    <t>Reklāmas banera rāmja demontāža, attīrīšana no rusas, pārkrāsošana ar pretkorozijas krāsu, toni precizējot vēlāk, un montāža virs projektējamās fasādes</t>
  </si>
  <si>
    <t>Ventilācijas restes pandusā (kapņu konstrukcijā), demontāža, attīrīšana, gruntēšana un pārkrāsošana pelēkā tonī</t>
  </si>
  <si>
    <t>Metāla leņķdzelža demontāža, attīrīšana, gruntēšana un pārkrāsošana pelēkā tonī</t>
  </si>
  <si>
    <t>Betonētu izvirzījumu ap logiem (ailas paplašinājums uz ārpusi) demontāža. (AR-3, poz. 18)</t>
  </si>
  <si>
    <t>Kabeļi ievietot caurulē un saglabāt zem projektējamās siltumizolācijas</t>
  </si>
  <si>
    <t>Ieejas mezgla lietus ūdens notekcauruļu demontāža</t>
  </si>
  <si>
    <t>Satelītantenas rūpīga demontāža un pārcelšana uz jumtu, paredzot kabeļa (25-40 m) pagarināšanu un jaunus stiprinājumus</t>
  </si>
  <si>
    <t>Betonētu izvirzījumu ap logiem (ailas paplašinājums uz ārpusi) demontāža. (AR-3, poz. 10)</t>
  </si>
  <si>
    <t>Margas - attīrīt no rūsas un pārkrāsot ar pretkorozijas krāsu pelēkā tonī</t>
  </si>
  <si>
    <t>Visiem pagraba stāvā esošajiem koka šķūņiem sienas augšpusi nozāģet aptuveni par 20 cm</t>
  </si>
  <si>
    <t>Visus, pie pagraba griestiem esošos kabeļus, pārcelt uz projektējamās griestu siltumizolācijas virsmu, uzstādot jaunus stiprinājumus</t>
  </si>
  <si>
    <t>Koka stats ar montāžu</t>
  </si>
  <si>
    <t>Aukstā ūdens guļvadu kaučuka pretkondensāta izolācijas 9 mm montāža posmos, kuros nav izolācijas vai viņa ir bojāta</t>
  </si>
  <si>
    <t>Papildus stiprinājumu montāža esošajām inženierkomunikācijam (ūdensvadiem un kanalizācijas cauruļvadiem)</t>
  </si>
  <si>
    <t>Griestu plaknes līdzināšana, slāņa biezums līdz 5 mm (ja nepieciešams)</t>
  </si>
  <si>
    <t>Putupolistirols EPS 150, 100 mm, (lambda=0.034 W/mK)</t>
  </si>
  <si>
    <t>Armējošā java Ceresit CT 85 Flex (vai ekvivaelnts)</t>
  </si>
  <si>
    <t>1. LOGU PIEGĀDE UN MONTĀŽA</t>
  </si>
  <si>
    <t>2. ĀRDURVJU PIEGĀDE UN MONTĀŽA</t>
  </si>
  <si>
    <t>Metāla durvis pagrabam AD-1, 1030*1850 mm ar piegādi un montāžu, uzstādīt slēdzeni, izgatavot 70 atslēgu kopijas, uzstādīt pašaizveršanas mehānismu, ar slieksni</t>
  </si>
  <si>
    <t>Siltinātās metāla ārdurvis ar stikla paketēm AD-3, 1880*2500 mm ar piegādi un montāžu, uzstādīt slēdzeni, rokturi, aprīkot ar elektronisko sprūdu un koda atslēgu, izgatavot 70*5=350 atslegu kopijas (čipus), uzstādīt pašaizveršanas mehānismu, ar noapaļotu  slieksni. Domofonu pieprogrammēt (pieslēgt) esošajai durvju atveršanas sistēmai dzīvokļos</t>
  </si>
  <si>
    <t>PVC ārdurvis AD-5 ar stikla paketi, 1820*2550 mm ar piegādi un montāžu, neslēdzamās, ar slieksni, ar pašaizveršanas mehānismu, durvīs izmantot abpusējus drošības stiklus</t>
  </si>
  <si>
    <t>PVC ārdurvis AD-6 ar stikla paketi, 1030*2550 mm ar piegādi un montāžu, neslēdzamās, ar slieksni, ar pašaizveršanas mehānismu, durvīs izmantot abpusējus drošības stiklus</t>
  </si>
  <si>
    <t>3. DURVJU PIEGĀDE UN MONTĀŽA BĒŅĪŅOS</t>
  </si>
  <si>
    <t>Metāla durvis jumta izejai neapkurināmām telpām   JI-1, 1150*1240 mm, ar piegādi un montāžu</t>
  </si>
  <si>
    <t>Metāla durvis bēņiņiem BD-1, 810*1800 mm ar piegādi un montāžu, uzstādīt slēdzeni, uzstādīt pašaizveršanas mehānismu, ar slieksni, EI-60</t>
  </si>
  <si>
    <t>Siltinātās metāla ārdurvis AD-4, 1010*2500 mm  ar piegādi un montāžu, uzstādīt slēdzeni, rokturi, aprīkot ar elektronisko sprūdu un koda atslēgu, izgatavot 70*5=350 atslegu kopijas (čipus), uzstādīt pašaizveršanas mehānismu, ar noapaļotu  slieksni</t>
  </si>
  <si>
    <t>Siltinātās metāla ārdurvis AD-2, 1250*2150 mm ar piegādi un montāžu, uzstādīt slēdzeni, rokturi, aprīkot ar elektronisko sprūdu un koda atslēgu, izgatavot 70*5=350 atslegu kopijas (čipus), uzstādīt pašaizveršanas mehānismu, ar noapaļotu  slieksni</t>
  </si>
  <si>
    <t>Stūris ēku siltināšanai (ārējais un iekšējais)</t>
  </si>
  <si>
    <t>2. FASĀDES SILTINĀŠANA. ASĪS  2--1</t>
  </si>
  <si>
    <t>3. FASĀDES SILTINĀŠANA. ASĪS  A--B</t>
  </si>
  <si>
    <t>4. FASĀDES SILTINĀŠANA. ASĪS  B--A</t>
  </si>
  <si>
    <t>5. CITI DARBI FASĀDEI ASĪS 1--2 (AR-4)</t>
  </si>
  <si>
    <t>Veikala ''Audumi'' ieejas mezgla flīzēšana</t>
  </si>
  <si>
    <t>Grīdas flīzes</t>
  </si>
  <si>
    <t>Flīžu līme</t>
  </si>
  <si>
    <t>Cokola ventilācijas restes-1, 850*200 mm, metāla, krāsotās, ar piegādi un montāžu</t>
  </si>
  <si>
    <t>Cokola ventilācijas restes-2, 400*400 mm, metāla, krāsotās, ar piegādi un montāžu</t>
  </si>
  <si>
    <t>PVC revīzijas lūkas, 200*200 mm, ar piegādi un montāžu</t>
  </si>
  <si>
    <t>6. CITI DARBI FASĀDEI ASĪS 2--1 (AR-5)</t>
  </si>
  <si>
    <t>7. CITI DARBI FASĀDEI ASĪS A--B (AR-6)</t>
  </si>
  <si>
    <t>Sienas apmešana ar dekoratīvo apmetumu</t>
  </si>
  <si>
    <t>8. CITI DARBI FASĀDEI ASĪS B--A (AR-6)</t>
  </si>
  <si>
    <t>Ieejas mezgla lietus ūednsnotekcaurules montāža</t>
  </si>
  <si>
    <t>Drenāžas caurules ar kokosa filtru ierakt zemē 0.7 m dziļumā</t>
  </si>
  <si>
    <t>Kanalizācijas caurules posma montāža savienošanai lietus ūdens notekcauruli ar drenāžas cauruļi</t>
  </si>
  <si>
    <t>9. LODŽIJU MŪRĒŠANA ASĪS 1--2. ŠĶĒLUMS  B1-B1/2--2. (AR-15, AR-36, AR-36.1)</t>
  </si>
  <si>
    <t>Esošā grīdas seguma demontāža zem projektējamā gāzbetona bloku mūra</t>
  </si>
  <si>
    <t>Stiegrojums, d.8 mm B500B</t>
  </si>
  <si>
    <t>Vītņstienis d.12 mm</t>
  </si>
  <si>
    <t>Paplāksne 70*70*5 mm</t>
  </si>
  <si>
    <t>M12 uzgriežņi</t>
  </si>
  <si>
    <t>Ķīmiskie enkuri</t>
  </si>
  <si>
    <t>vietas</t>
  </si>
  <si>
    <t>Mūrētas sienas apmešana</t>
  </si>
  <si>
    <t>Mūra sienas krāsošana divās kārtās</t>
  </si>
  <si>
    <t>Gruntskrāsa</t>
  </si>
  <si>
    <t>Krāsa ārdarbiem</t>
  </si>
  <si>
    <t>Alumīnijā noseglīstes grīdas līmenī montāža</t>
  </si>
  <si>
    <t>10. LODŽIJU MŪRĒŠANA ASĪS A--B. ŠĶĒLUMS  B1-B1/2--2. (AR-15, AR-36, AR-36.1)</t>
  </si>
  <si>
    <t>11. LODŽIJU MŪRĒŠANA ASĪS B--A. ŠĶĒLUMS  B1-B1/ 2--2. (AR-15, AR-36, AR-36.1)</t>
  </si>
  <si>
    <t>12. LODŽIJU MARGU MONTĀŽA ASĪS 2--1. ŠĶĒLUMS  B1-B1. (AR-32, AR-36.1)</t>
  </si>
  <si>
    <t>Lodžijas margu izgatavošana un montāža</t>
  </si>
  <si>
    <t>Cinkota metāla plāksne 160*160*4 mm</t>
  </si>
  <si>
    <t>Ar pulverkrāsu krāsota metala plāksne 160*106*4 mm</t>
  </si>
  <si>
    <t>Ar pulverkrāsu krāsota vertikāla caurule 60*2 mm</t>
  </si>
  <si>
    <t>Kronšteini plākšņu stiprināšanai</t>
  </si>
  <si>
    <t>Ar pulverkrāsu krāsota horizontāla caurule 60*2 mm</t>
  </si>
  <si>
    <t>Ar pulverkrāsu krāsots apaļstienis, d.10</t>
  </si>
  <si>
    <t>Ar pulverkrāsu krāsota perforēta tērauda loksne</t>
  </si>
  <si>
    <t xml:space="preserve">Griestu betona virsmas tīrīšana </t>
  </si>
  <si>
    <t>Logs L-1 ar piegādi un montāžu, 1200*1515 mm, PVC rāmis ar stikla paketi, Uw=1.25W/(m2*K), balta/balta, atverams/atgāžams, veramājā daļa ir uzstādīta ventilācijas sistēma Gealan Gecco 3 (vai ekvivalents)</t>
  </si>
  <si>
    <t>Logs L-2 ar piegādi un montāžu, 1470*1515 mm, PVC rāmis ar stikla paketi, Uw=1.25W/(m2*K), balta/balta, atverams/atgāžams, veramājā daļa ir uzstādīta ventilācijas sistēma Gealan Gecco 3 (vai ekvivalents)</t>
  </si>
  <si>
    <t>Logs L-3 ar piegādi un montāžu, 1000*1320 mm, PVC rāmis ar stikla paketi, Uw=1.25W/(m2*K), balta/balta, atverams/atgāžams, veramājā daļa ir uzstādīta ventilācijas sistēma Gealan Gecco 3 (vai ekvivalents)</t>
  </si>
  <si>
    <t>Logs L-4 ar piegādi un montāžu, 5750*1550 mm, PVC rāmis ar stikla paketi, Uw=1.25W/(m2*K), balta/balta, atverams/atgāžams, veramājā daļa ir uzstādīta ventilācijas sistēma Gealan Gecco 3 (vai ekvivalents)</t>
  </si>
  <si>
    <t>Logs L-5 ar piegādi un montāžu, 5940*1550 mm, PVC rāmis ar stikla paketi, Uw=1.25W/(m2*K), balta/balta, atverams/atgāžams, veramājā daļa ir uzstādīta ventilācijas sistēma Gealan Gecco 3 (vai ekvivalents)</t>
  </si>
  <si>
    <t>Logs L-6 ar piegādi un montāžu, 5950*1550 mm, PVC rāmis ar stikla paketi, Uw=1.25W/(m2*K), balta/balta, atverams/atgāžams, veramājā daļa ir uzstādīta ventilācijas sistēma Gealan Gecco 3 (vai ekvivalents)</t>
  </si>
  <si>
    <t>Logs L-7 ar piegādi un montāžu, 5700*1550 mm, PVC rāmis ar stikla paketi, Uw=1.25W/(m2*K), balta/balta, atverams/atgāžams, veramājā daļa ir uzstādīta ventilācijas sistēma Gealan Gecco 3 (vai ekvivalents)</t>
  </si>
  <si>
    <t>Logs L-8 ar piegādi un montāžu, 5650*1550 mm, PVC rāmis ar stikla paketi, Uw=1.25W/(m2*K), balta/balta, atverams/atgāžams, veramājā daļa ir uzstādīta ventilācijas sistēma Gealan Gecco 3 (vai ekvivalents)</t>
  </si>
  <si>
    <t>Esošajos logos veramājā daļa uzstādīt dabīgas ventilācijas sistēmu Gealan Gecco 3 (vai ekvivalents)</t>
  </si>
  <si>
    <t>Akmens vate ROCKWOOL FRONTROCK MAX E (vai ekvivalents),  (lambda=0.036 W/mK), 150 mm</t>
  </si>
  <si>
    <t>Gāzbetona bloks Bauroc Classic (vai ekvivalents), 150 mm</t>
  </si>
  <si>
    <t>Gāzbetona bloks  Bauroc Classic (vai ekvivalents), 150 mm</t>
  </si>
  <si>
    <t>Grunts Ceresit CT 17 (vai ekvivalents), ja nepiciešams</t>
  </si>
  <si>
    <t>Armējošā java Ceresit CT 87 (vai ekvivalents)</t>
  </si>
  <si>
    <t>Tonēta gruntskrāsa, Ceresit CT 15 (vai ekvivalents)</t>
  </si>
  <si>
    <t>Dziļumgrunts Ceresit CT 17 (vai ekvivalents)</t>
  </si>
  <si>
    <t>Fasādes špaktele Ceresit CT 29 (vai ekvivalents)</t>
  </si>
  <si>
    <t>Tonēta gruntskrāsa Ceresit CT 15 (vai ekvivalents)</t>
  </si>
  <si>
    <t>Deformācijas profils plaknei EJOT 420E (vai ekvivalents) iestrāde</t>
  </si>
  <si>
    <t>Deformācijas profila plaknei EJOT 420E (vai ekvivalents) iestrāde</t>
  </si>
  <si>
    <t>Ventilācijas izvada caurules krāsošana (poz.5)</t>
  </si>
  <si>
    <t>Esošās venrilācijas restes attīrīšana no rūsas, pārkrāsošana ar pretkorozijas krāsu pelēkā tonī</t>
  </si>
  <si>
    <t>Atjaunot lodžiju norobežojošo konstrukciju aizsargslāni (vietās, kas atsegtas pēc dzelzbetona vairogu demontāžas). Viens komplekts - viena lodžija. Bojāto stiegrojuma aizsargslāni atjaunot, stiegrojumu apstrādāt ar antikorozijas sastāvu, kas uzlabo saķeri ar betonu</t>
  </si>
  <si>
    <t>Lodžiju apakšdaļas aizmūrēšana ar gāzbetona blokiem, stiegrojot katru gāzbetona bloku mūra šuvi, katru otro šuvi enkurot esošajā panelī ar vītņstieņiem, ar ķīmiskiem enkuriem</t>
  </si>
  <si>
    <t>Hidroizolācija (ruberoīds)</t>
  </si>
  <si>
    <t>1. COKOLA SILTINĀŠANA. ŠĶĒLUMS 1--1. ASĪS 1--2 (AR-14.2)</t>
  </si>
  <si>
    <t>Zemes rakšanas darbi dziļumā līdz 1000 mm no apmales virsmas un aizberšanas darbi, blietējot pa kārtām</t>
  </si>
  <si>
    <t>Noņemt esošo, atslāņojušo apmetumu</t>
  </si>
  <si>
    <t>2. COKOLA SILTINĀŠANA. ŠĶĒLUMS 1--1. ASĪS 2--1 (AR-14.2)</t>
  </si>
  <si>
    <t>3. COKOLA SILTINĀŠANA. ŠĶĒLUMS 1--1. ASĪS A--B (AR-14.2)</t>
  </si>
  <si>
    <t>4. COKOLA SILTINĀŠANA. ŠĶĒLUMS 1--1. ASĪS B--A (AR-14.2)</t>
  </si>
  <si>
    <t>5. FASĀDE ASĪS 1--2. COKOLA ŠĶĒLUMS 2--2. (AR-15, poz. 1.1)</t>
  </si>
  <si>
    <t>Papildus siltumizolacijas (lambda 0.036W/mK) Rockwool Frontrock Max E (vai ekvivalents) slānis 5-50 mm sienas virsmas izlīdzīnāšanai ar palīgmateriāliem</t>
  </si>
  <si>
    <t>Griestu virsmas tīrīšana un virsmas izlīdzināšana, ja ir nepieciešams</t>
  </si>
  <si>
    <t>Akmens vate ROCKWOOL FRONTROCK MAX E,  (lambda=0.036 W/mK), 150 mm</t>
  </si>
  <si>
    <t>Griestu virsmas armēšana</t>
  </si>
  <si>
    <t>Stūra profils ar lāseni un armējošo sietu</t>
  </si>
  <si>
    <t>7. FASĀDE ASĪS 2--1. COKOLA ŠĶĒLUMS 5--5. (AR-19, poz. 1.1--1.14)</t>
  </si>
  <si>
    <t>Putupolistiorla EPS 150, 20 mm, montāža</t>
  </si>
  <si>
    <t>Tvaika necaurlaidīga lenta montāža</t>
  </si>
  <si>
    <t>Diffūzijas lentas montāža</t>
  </si>
  <si>
    <t>Piebetonējuma izveide, izlīdzinošais slānis pēc durvju montāžas</t>
  </si>
  <si>
    <t>Hidroizolācijas izveide no divu kārtu ruberoidu bitumenā mastikā</t>
  </si>
  <si>
    <t>Durvju ailu apmešanas darbi no iekšpuses gar trīm malām</t>
  </si>
  <si>
    <t>Durvju ailu gruntēšanas, špaktelēšanas, krāsošanas darbi no iekšpuses gar trīm malām</t>
  </si>
  <si>
    <t>8. FASĀDE ASĪS B--A. COKOLA ŠĶĒLUMS 6--6. (AR-20, poz. 1.1--1.5)</t>
  </si>
  <si>
    <t>Mūrētas sienas apmešana, ieskaitot ailu apdari</t>
  </si>
  <si>
    <t>Rūpnieciski ražota gaismas šahta ACO Therm 38776 (vai ekvivalents) ar izmēriem 1500*1000*700 mm, ar piegādi un montāžu</t>
  </si>
  <si>
    <t xml:space="preserve">Mūrētas sienas un ailes iekšpusē apmešana </t>
  </si>
  <si>
    <t>Loga pielaiduma profils ar sietu</t>
  </si>
  <si>
    <t>Ailes apdare ārpusē ar dekoratīvo apmetumu</t>
  </si>
  <si>
    <t>Loga montāžas putas Penosil vai ekvivalents</t>
  </si>
  <si>
    <t>Lietus ūdens drenāžas caurules ar kokosa filtru piegāde un montāža</t>
  </si>
  <si>
    <t>Šķembu (fr. 16-45) piegāde un iestrāde</t>
  </si>
  <si>
    <t>Keramzīta (fr.10-20 mm) piegāde un iestrāde</t>
  </si>
  <si>
    <t>PVC hidroizolācijas plēves montāža</t>
  </si>
  <si>
    <t>Betonējuma C20/25 izveide virs keramzīta</t>
  </si>
  <si>
    <t>15.1. PARSEGUMS</t>
  </si>
  <si>
    <t>Atslāņojošā betona noņemšana</t>
  </si>
  <si>
    <t>Skārda nosegdetaļas piegāde un montāža</t>
  </si>
  <si>
    <t>Skārda lāseņa piegāde un montāža</t>
  </si>
  <si>
    <t>Grīdas slāņa izlīdzinošās kārtas izveide plaknē</t>
  </si>
  <si>
    <t>Lēzena akmens vates pāreja</t>
  </si>
  <si>
    <t>Seguma ieklāšana, izmantojot bitumena ruļļveida vienslāņa materiālu</t>
  </si>
  <si>
    <t>Bitumena mastika</t>
  </si>
  <si>
    <t>Gāze</t>
  </si>
  <si>
    <t>bal</t>
  </si>
  <si>
    <t>15.2. SIENA</t>
  </si>
  <si>
    <t>Noņemt esošo, atslāņojušo apmetumu, stiegrojumu attīrīt no rūsas</t>
  </si>
  <si>
    <t>Gruntēt attīrītas vietas</t>
  </si>
  <si>
    <t>Atjaunot stiegrojuma aizsargslāni</t>
  </si>
  <si>
    <t>16.1. KĀPŅU EJAS GALA SIENAS APDARE</t>
  </si>
  <si>
    <t>16.2. KĀPŅU EJAS GALA SIENAS APDARE NO PADZILINĀJUMA LĪDZ GRIESTIEM</t>
  </si>
  <si>
    <t>Siltumizolācijas un sienas armēšana</t>
  </si>
  <si>
    <t>16.3. GRĪDAS VIRSMAS (KĀPŅU) APDARE</t>
  </si>
  <si>
    <t>Kāpņu kantes frēzēšana</t>
  </si>
  <si>
    <t>Ceresit CX 5 (vai ekvivalents) iestrāde</t>
  </si>
  <si>
    <t>Ceresit CX 20 (vai ekvivalents) iestrāde</t>
  </si>
  <si>
    <t>Margas piegāde un montāža no pulverkrāsotās apaļas caurules ar pie sienas stiprināmiem kronšteiniem</t>
  </si>
  <si>
    <t>17. IEEJAS MEZGLA KĀPNES.       COKOLA   ŠĶĒLUMS 12--12. (AR-35, AR-35.1)</t>
  </si>
  <si>
    <t>17.1. KĀPŅU IZVEIDE</t>
  </si>
  <si>
    <t>Šķembu (fr. 16-45 mm) iestrāde ar blietēšanu uz sagatavotu pamatni, 150 mm</t>
  </si>
  <si>
    <t>Putupolistirola ieklāšana EPS 150, 20 mm</t>
  </si>
  <si>
    <t>Stiegrojuma d.12, B500B, montāža, ieskaitot distancerus</t>
  </si>
  <si>
    <t>Veidņu izgatavošana, montāža un demontāža no mitrumizturīga finiera un koka brusu</t>
  </si>
  <si>
    <t>Kāpņu betonēšana ar betonu C20/25</t>
  </si>
  <si>
    <t>Betona virsmas apstrāde ar bezkrāsaino virsmas cietinātaju ''Crete Colors'' (vai ekvivalentu) C2 Super Hard</t>
  </si>
  <si>
    <t>17.2. PANDUSS BĒRNU RATIŅIEM</t>
  </si>
  <si>
    <t>Stabveida pamata izveide d.200 mm PVC apvalkā, betons C20/25=0.04 m3</t>
  </si>
  <si>
    <t>Metāla profils UPE 140 ar piegādi un montāžu, cinkots</t>
  </si>
  <si>
    <t>Metāla leņķprofils 50*50*3 mm ar piegādi un montāžu, cinkots</t>
  </si>
  <si>
    <t>Cinkots metināts režģis SP 34*38/30*3, režģa platums 1200 mm, ar piegādi un montāžu</t>
  </si>
  <si>
    <t>Cinkota metāla platforma ar piegādi un montāžu</t>
  </si>
  <si>
    <t>Cinkotas apaļas metāla caurules 50*2 mm ar piegādi un montāžu</t>
  </si>
  <si>
    <t>Cinkoti metāla margu statņi  60*60*4 mm ar piegādi un montāžu</t>
  </si>
  <si>
    <t>Cinkota taisnstūrveida caurule 20*2 mm ar piegādi un montāžu</t>
  </si>
  <si>
    <t xml:space="preserve">Grunts Ceresit CT 17 (vai ekvivalents) </t>
  </si>
  <si>
    <t>TECHNONICOL Bipol XL EKP 5.0, plakano jumtu segums, virsklājs vai ekvivalents</t>
  </si>
  <si>
    <t>Pamatu putupolistirols EPS 150 (λ≤0.034 W/mK), 100mm</t>
  </si>
  <si>
    <t>Armējošā java Ceresit CT 85 (vai ekvivalents)</t>
  </si>
  <si>
    <t>6. FASĀDE ASĪS B--A. COKOLA ŠĶĒLUMS 3--3. (AR-16, poz. 1.1--1.9)</t>
  </si>
  <si>
    <t>Siltumizolācijas līmjava Ceresit CT 190 (vai ekvivalents)</t>
  </si>
  <si>
    <t>Siltumizolācijas dībeļi Ejot STR ar Metāla naglu (vai ekvivalents), 220 mm</t>
  </si>
  <si>
    <t>Stūris ēku siltināšanai (iekšējais)</t>
  </si>
  <si>
    <t>Metāla leņķdzelzis 100*100 mm, enkurots pamata konstrukcijā</t>
  </si>
  <si>
    <t>Fasādes špaktele Ceresit CT 29 (vai evkvivalents)</t>
  </si>
  <si>
    <t>Tonēta gruntskrāsa Ceresit CT 15 (vai evkvivalents)</t>
  </si>
  <si>
    <t>Masā tonēts silikāta dekoratīvais apmetums CT 72 (vai evkvivalents), ''biezpiens'', 2.5 mm</t>
  </si>
  <si>
    <t>Masā tonēts silikāta dekoratīvais apmetums CT 72 (vai evkvivalents), ''biezpiens'', 2.5mm</t>
  </si>
  <si>
    <t>Gaismas šahtas apakšdaļas aizmūrēšana ar keramzīta blokiem, stiegrojot katra keramzīta bloku mūra šuvi, katru šuvi enkurot esošājā pamatu konstrukcijā ar ķīmiskiem enkuriem</t>
  </si>
  <si>
    <t>Sienas mūrēšana ar keramzīta blokiem, stiegrojot katra keramzīta bloku mūra šuvi, katru šuvi enkurot esošājā pamatu konstrukcijā ar ķīmiskiem enkuriem</t>
  </si>
  <si>
    <t>Hidroizolacija (ruberoīds)</t>
  </si>
  <si>
    <t>FIBO bi-armatūra (vai evkivalents)</t>
  </si>
  <si>
    <t>keramzīta bloks FIBO EFEKT 5 (vai evkvivalents), 200 mm</t>
  </si>
  <si>
    <t>Cementa - kaļķu apmetums Ceresit ZKP (vai ekvivalens) (vai ekvivalents)</t>
  </si>
  <si>
    <t>Cementa - kaļķu apmetums Ceresit ZKP (vai ekvivalens)</t>
  </si>
  <si>
    <t>Stūris ēku siltināšanai (ārējais)</t>
  </si>
  <si>
    <t>Mūrjava Weber M100/600 (vai ekvivalents)</t>
  </si>
  <si>
    <t>12. FASĀDE ASĪS B--A. COKOLA   ŠĶĒLUMS 7--7. (AR-21, poz. 3.2-3.5)</t>
  </si>
  <si>
    <t>13. FASĀDE ASĪS  1--2.  COKOLA ŠĶĒLUMS 8--8. (AR-22, poz. 1--6.1)</t>
  </si>
  <si>
    <t>11. FASĀDE ASĪS 2--1.  COKOLA  ŠĶĒLUMS 7--7. (AR-21, poz. 2.2-2.5)</t>
  </si>
  <si>
    <t>10. FASĀDE ASĪS 1--2.   COKOLA ŠĶĒLUMS 7--7. (AR-21, poz. 1.2-1.5)</t>
  </si>
  <si>
    <t>9. FASĀDE ASĪS A--B.    COKOLA ŠĶĒLUMS 6--6. (AR-20, poz. 2.1--2.6)</t>
  </si>
  <si>
    <t>14. FASĀDE ASĪS  A--B.  COKOLA   ŠĶĒLUMS 9--9. (AR-23, poz. 1--1.4)</t>
  </si>
  <si>
    <t>Pamatu putupolistirols EPS 150 (λ≤0.034 W/mK), 150mm</t>
  </si>
  <si>
    <t>15. FASĀDE ASĪS  2--1. COKOLA   ŠĶĒLUMS 10--10. (AR-33, poz. 1--1.8 un 2.1--2.3)</t>
  </si>
  <si>
    <t>16. PAGRABA KĀPŅU REMONTS.       COKOLA ŠĶĒLUMS 11--11. (AR-34, AR-34.1)</t>
  </si>
  <si>
    <t>Masā tonēts apmetums ''Biezpiens'', graudu izmērs 2.5 mm Ceresit CT 72 (vai evkvivalents)</t>
  </si>
  <si>
    <t>Masā tonēts apmetums ''Biezpiens'', graudu izmērs 2.5mm Ceresit CT 72 (vai evkvivalents)</t>
  </si>
  <si>
    <t>Masā Masā tonēts apmetums ''Biezpiens'', graudu izmērs 2.5 mm Ceresit CT 72 (vai evkvivalents)</t>
  </si>
  <si>
    <t>Ārsienas plaknes līdzināšana, slāņa biezums līdz 5mm (ja nepieciešams)</t>
  </si>
  <si>
    <t>Siltumizolācijas dībeļi Ejot STR (vai ekvivalents) ar Metāla naglu</t>
  </si>
  <si>
    <t>Siltumizolācijas dībeļi Ejot STR (vai ekvivalents) ar Metāla naglu, 220mm</t>
  </si>
  <si>
    <t>Virsms gruntēšana ar dziļumgrunti Ceresit CT 17 (vai ekvivalents)</t>
  </si>
  <si>
    <t>JUMTA REMONTS</t>
  </si>
  <si>
    <t>1. DEMONTĀŽAS DARBI</t>
  </si>
  <si>
    <t>Esošā jumta seguma demontāža, ja ir nepieciešamība</t>
  </si>
  <si>
    <t>Esošo lietus ūdens savācēju demontāža</t>
  </si>
  <si>
    <t>Esošā zibensuztvērēja kontura demontāža</t>
  </si>
  <si>
    <t>2. JUMTA REMONTS (AR-12, AR-12.1)</t>
  </si>
  <si>
    <t>Esošās jumta plaknes tīrīšana viļņveida dzelzbetona paneļu zonas (sagatavošana pirms jumta seguma iestrādes)</t>
  </si>
  <si>
    <t>Esošās sateknes tīrīšana no smilts, ķieģeļu izdrupumiem u.c.</t>
  </si>
  <si>
    <t>Bojāto iecirkņu remonts ar remontjavu (apjoms precizējams veicot būvdarbus, šeit pieņemts 5% no kopējas platības)</t>
  </si>
  <si>
    <t>Spraugu starp viļņveida dzelzbetona paneļiem un nosedzošas betona plātnes ar cementa javu (šķēlums J8-J8, AR-12)</t>
  </si>
  <si>
    <t>Esošās jumta plaknes gruntēšana</t>
  </si>
  <si>
    <t>Jumta seguma ieklāšana, izmantojot bitumena ruļļveida vienslāņa materiālu. Uzklāt arī uz paneļa galiem, iekskaitot uzlocijumus un vietas, kur segums jālīmē dubultā</t>
  </si>
  <si>
    <t>Esošā jumta seguma pārlīmēšana lokālās vietās</t>
  </si>
  <si>
    <t>Pārlīmēt ventilācijas izvadu savienojuma vietas ar bitumena ruļļu materiālu Technonikol (170 gr/m2) vai ekvivalentu</t>
  </si>
  <si>
    <t>Esošājām jumta margam pārbaudīt metinājuma šuves, nepieciešamības gadījumā atjaunot metinātos savienojumus. Margas attīrīt  no rūsas un pārkrāsot ar pretkorozijas krāsu 2 kārtās Hammerite - hammered pelēkā tonī</t>
  </si>
  <si>
    <t>Lietus ūdens un lapu savācēju montāža sateknē</t>
  </si>
  <si>
    <t>Esošās metāla režģa platformas attīrīšana no rūsas, pārkrāsošana ar pretkorozijas krāsu pelēkā tonī</t>
  </si>
  <si>
    <t>Jumta seguma ieklāšana, izmantojot bitumena ruļļveida vienslāņa materiālu</t>
  </si>
  <si>
    <t>Laminēta saplākšņa montāža</t>
  </si>
  <si>
    <t>Laminēts mitrumizturīgs saplāksnis, 15 mm</t>
  </si>
  <si>
    <t>Skrūves</t>
  </si>
  <si>
    <t>Skārda nosegdetaļu montāža</t>
  </si>
  <si>
    <t>Skārda nosegelements</t>
  </si>
  <si>
    <t>Koka konstrukcijas izbūve parapetam</t>
  </si>
  <si>
    <t>Impregnēta koka lata 25*50  mm</t>
  </si>
  <si>
    <t>Impregnēta koka lata 50*50  mm</t>
  </si>
  <si>
    <t>Hidroizolācijas zem koka latam</t>
  </si>
  <si>
    <t>4. PARAPETA ŠĶĒLUMS J2-J2 (AR-26)</t>
  </si>
  <si>
    <t>Slīpumu veidojošs monolīts dzelzbetona joslas paugstinājuma izveide</t>
  </si>
  <si>
    <t>Mitrumizturīgs finieris 21 mm veidņu izgatavošanai</t>
  </si>
  <si>
    <t>Armatūra d.10 mm, B500B</t>
  </si>
  <si>
    <t>Armatūra d.8 mm, B500B</t>
  </si>
  <si>
    <t>Betons C20/25</t>
  </si>
  <si>
    <t>Skārda nosegdetaļas montāža</t>
  </si>
  <si>
    <t>Vertikālie HAT profili H20 30*1.0(t), solis 600 mm, ar montāžu</t>
  </si>
  <si>
    <t>Profilu HAT stiprinājumi un palīgmateriāli</t>
  </si>
  <si>
    <t>Skārda jumta seguma montāža parapetam</t>
  </si>
  <si>
    <t>5. PARAPETA ŠĶĒLUMS J3-J3 (AR-27)</t>
  </si>
  <si>
    <t>6. JUMTA DZEGAS REMONTS. ŠĶĒLUMS J4-J4. (AR-28)</t>
  </si>
  <si>
    <t>Daļēja  esošā jumta seguma demontāža</t>
  </si>
  <si>
    <t>Esošā skārda lāseņa demontāža</t>
  </si>
  <si>
    <t>Esošās ķieģeļu dzegas izvirzījuma remonts</t>
  </si>
  <si>
    <t>Armējošā līmjava</t>
  </si>
  <si>
    <t>Fasādes cieta akmens vate ķieģeļu izdrupumu aizpildīšanai</t>
  </si>
  <si>
    <t>Cinkotas teknes ar stiprinajumiem, 150 mm, piegāde un montāža</t>
  </si>
  <si>
    <t>Cinkota skārda lāseņa, piegāde un montāža</t>
  </si>
  <si>
    <t>7. PARAPETA ŠĶĒLUMS J5-J5 (AR-29)</t>
  </si>
  <si>
    <t>Pārseguma paneļa izlīdzinošā slāņa izveide, 20 mm</t>
  </si>
  <si>
    <t>Skārda nosegdetaļas montāža pa visu pārseguma paneļu perimetru</t>
  </si>
  <si>
    <t>Cinkota tērauda metinātā sieta, acs izmērs 25*25 mm, montāža</t>
  </si>
  <si>
    <t>8. PARAPETA ŠĶĒLUMS J6-J6. (AR-30)</t>
  </si>
  <si>
    <t>Tonēta gruntskrāsa Ceresit CT15</t>
  </si>
  <si>
    <t>9. IEEJAS MEZGLA JUMTIŅA UN LODŽIJAS PĀRSEGUMA SAVIENOJUMS, LODŽIJAS SIENAS APDARE. ŠĶĒLUMS J7-J7. (AR-31)</t>
  </si>
  <si>
    <t>9-1.  2.STĀVA LODŽIJAS PĀRSEGUMA PANEĻA APDARE</t>
  </si>
  <si>
    <t>Grīdas virsmas gruntēšana (divas kārtas)</t>
  </si>
  <si>
    <t>Hidroizolācijas izveide</t>
  </si>
  <si>
    <t>9-2.  PĀRĒJO LODŽIJU PĀRSEGUMA PANEĻU APDARE</t>
  </si>
  <si>
    <t>Ugunsdzēsības kāpņu piegāde un montāža, L=1800 mm, Ruukki vai ekvivalents</t>
  </si>
  <si>
    <t>3. PARAPETA ŠĶĒLUMS j1-j1 (AR-25)</t>
  </si>
  <si>
    <t xml:space="preserve">Technonicol TECHNOELAST EKP 5.5 (vai ekvivalents), plakano jumtu segums, vienkārtas </t>
  </si>
  <si>
    <t>Technonicol TECHNOELAST EKP 5.5 (vai ekvivalents), plakano jumtu segums, vienkārtas</t>
  </si>
  <si>
    <t>Cinkotas notekas ar stiprinajumiem, 100 mm, piegāde un montāža</t>
  </si>
  <si>
    <t>Ceresit CN 87 vai ekvivaelnts</t>
  </si>
  <si>
    <t>Technonicol (poliesters ≥ 170g/m²), plakano jumtu segums, virsklājs vai ekvivaelnts</t>
  </si>
  <si>
    <t>Daļēja esošā jumta seguma demontāža</t>
  </si>
  <si>
    <t>Skārda vējmalas montāža, visam ieejas mezgla jumtam pa perimetru</t>
  </si>
  <si>
    <t>Profilēts jumta segums Ruukki (vai ekvivalents), profils T20</t>
  </si>
  <si>
    <t>Ceresit CN 87 vai ekvivalents</t>
  </si>
  <si>
    <t>Ceresit CN 94 vai ekvivalents</t>
  </si>
  <si>
    <t>Tonēts apmetums ''Biezpiens'', graudu izmērs 2.5mm Ceresit CT 72 (vai ekvivalents)</t>
  </si>
  <si>
    <t>Ceresit CR 90 vai ekvivalents</t>
  </si>
  <si>
    <t>Pārseguma paneļa sānu virsmas špaktelēšana</t>
  </si>
  <si>
    <t>Technonicol (poliesters ≥ 170g/m²), plakano jumtu segums, virsklājs vai ekvivalents</t>
  </si>
  <si>
    <t>Logu un palodzes montāžas putas Penosil (vai ekvivalents), tikai maināmiem logiem</t>
  </si>
  <si>
    <t>Loga ailes apmešana, tikai mainamiem logiem</t>
  </si>
  <si>
    <t>Logu apdare no ārpuses</t>
  </si>
  <si>
    <t>Ārējo skārda palodžu piegāde un montāža, b=300 mm</t>
  </si>
  <si>
    <t>Hermetiķa iestrāde</t>
  </si>
  <si>
    <t>Loga pielaiduma profila ar sietu montāža</t>
  </si>
  <si>
    <t>Stūra profils ar lāseni un armējošo sietu ar montāžu</t>
  </si>
  <si>
    <t>Ārējo stūra profila montāža</t>
  </si>
  <si>
    <t>Logu apdare no iekšpuses, tikai maināmajiem logiem</t>
  </si>
  <si>
    <t>Tvaika necaurlaidīga lentas montāža</t>
  </si>
  <si>
    <t>Mitrumizturīga reģipša montāža</t>
  </si>
  <si>
    <t>J līstes montāža</t>
  </si>
  <si>
    <t>PVC palodzes montāža, b=300 mm, precizējot dabā platumu</t>
  </si>
  <si>
    <t>Loga, durvju un palodzes montāžas putas Penosil (vai ekvivalents), tikai maināmiem logiem, durvīm</t>
  </si>
  <si>
    <t>Loga un durvju ailes apmešana, tikai mainamiem logiem, durvīm</t>
  </si>
  <si>
    <t>Loga, durvju pielaiduma profila ar sietu montāža</t>
  </si>
  <si>
    <t>Durvju apdare no iekšpuses, tikai maināmajām durvīm</t>
  </si>
  <si>
    <t>Alumīnija noseglīstes montāža grīdas virsmas līmenī, apjoms paredzēts gan ārpusei, gan iekšpusei, tanī skaita arī pagraba durvīm</t>
  </si>
  <si>
    <t>4. LOGU IESTRĀDES/APDARES MEZGLS. FASĀDE ASĪS B--A. (AR-24)</t>
  </si>
  <si>
    <t>5. LODŽIJAS LOGU KONSTRUKCIJAS IESTRĀDE. FASĀDE ASĪS 1--2. (AR-17)</t>
  </si>
  <si>
    <t>Logu un palodzes montāžas putas Penosil (vai ekvivalents)</t>
  </si>
  <si>
    <t>Loga pielaiduma profila ar sietu montāža, gar 3 loga malām</t>
  </si>
  <si>
    <t>Lodžijas logu apdare no iekšpuses</t>
  </si>
  <si>
    <t>Alumīnija noseglīstes montāža baltā krāsā</t>
  </si>
  <si>
    <t>PVC palodzes montāža, b=100 mm, precizējot dabā platumu</t>
  </si>
  <si>
    <t>6. LODŽIJAS LOGU KONSTRUKCIJAS IESTRĀDE. FASĀDE ASĪS A--B. (AR-17)</t>
  </si>
  <si>
    <t>7. LODŽIJAS LOGU KONSTRUKCIJAS IESTRĀDE. FASĀDE ASĪS B--A. (AR-17)</t>
  </si>
  <si>
    <t>Lifta ailes apmešana visos 12 stāvos</t>
  </si>
  <si>
    <t>Augstspiedeņa lamināts uz MDF plātnes montāža ailē</t>
  </si>
  <si>
    <t>Fasādes izolācijas tapa ar Metāla naglu, 220 mm</t>
  </si>
  <si>
    <t>Grunts Ceresit CT 16</t>
  </si>
  <si>
    <t>Līmjava Ceresit CT 190</t>
  </si>
  <si>
    <t>Stūris ēku siltināšanai ( iekšējais)</t>
  </si>
  <si>
    <t>Sienas plaknes līdzināšana, slāņa biezums līdz 5 mm (ja nepieciešams)</t>
  </si>
  <si>
    <t>Stūris ēku siltināšanai (ārējais un  iekšējais)</t>
  </si>
  <si>
    <t>Akmens vate ROCKWOOL FRONTROCK MAX E,  (lambda=0.036 W/mK), 50 mm</t>
  </si>
  <si>
    <t>Masā tonēts silikata dekoratīvais apmetums CT72, ''biezpiens'', 2.5 mm</t>
  </si>
  <si>
    <t>Griestu apmešana ar dekoratīvo apmetumu</t>
  </si>
  <si>
    <t>Ķieģeļu mūra atjaunošana, pārmūrējots stūri</t>
  </si>
  <si>
    <t>1. LOGU (TANĪ SKAITĀ ĀRDURVIS) IESTRĀDES/APDARES MEZGLS. FASĀDE ASĪS 1--2. (AR-24)</t>
  </si>
  <si>
    <t>Loga difūzijas lentas montāža</t>
  </si>
  <si>
    <t>Siltumizolācija (lambda 0.037 W/mK), Rockwool Frontrock S (vai ekvivalents) montāža, 30 mm</t>
  </si>
  <si>
    <t>2. LOGU (TANĪ SKAITĀ ĀRDURVIS)  IESTRĀDES/APDARES MEZGLS. FASĀDE ASĪS A--B. (AR-24)</t>
  </si>
  <si>
    <t>3. LOGU (TANĪ SKAITĀ ĀRDURVIS UN PAGRABA DURVIS)  IESTRĀDES/APDARES MEZGLS. FASĀDE ASĪS 2--1. (AR-24)</t>
  </si>
  <si>
    <t>Ailas krāsošana divās kārtās</t>
  </si>
  <si>
    <t>Esošā griestu seguma demontāža zonā, kur paredzēts montēt lodžijas logu un gāzbetona bloku mūri</t>
  </si>
  <si>
    <t>8. IEKŠĒJĀ LIFTU AILU APDARE (AR-8.1, poz. 3)</t>
  </si>
  <si>
    <t>9.  1. STĀVA PĀRSEGUMA SILTINĀŠANA "AUDUMI'' VEIKALA IEEJAS MEZGLĀ (AR-8.1, poz. 4--4.9)</t>
  </si>
  <si>
    <t>10.   1. STĀVA LODŽIJAS SIENU SILTINĀŠANA "AUDUMI'' VEIKALA IEEJAS MEZGLĀ (AR-8.1, poz. 5--5.10)</t>
  </si>
  <si>
    <t>11.   FASĀDĒ ASĪS 2--1 LODŽIJU SILTINĀMO SIENU APDARE (AR-8.1, poz. 7--7.10)</t>
  </si>
  <si>
    <t>12.   FASĀDĒ ASĪS 2--1 LODŽIJU NE SILTINĀMO SIENU APDARE (AR-8.1, poz. 8--8.4)</t>
  </si>
  <si>
    <t>13.   FASĀDĒ ASĪS 2--1 LODŽIJU GRIESTU APDARE (AR-8.2)</t>
  </si>
  <si>
    <t>14. CITI DARBI (AR-8.1, poz. 6, 9)</t>
  </si>
  <si>
    <t>Siltumizolācijas dībeļi Ejot STR (vai ekvivalents) ar Metāla naglu, 220 mm</t>
  </si>
  <si>
    <t>Akmens vate ROCKWOOL FRONTROCK MAX E (vai ekvivaletns),  (lambda=0.036 W/mK), 150mm</t>
  </si>
  <si>
    <t>Siltumizolācijas montāža, 150mm-200mm</t>
  </si>
  <si>
    <t>Arnējošā java Ceresit CT 87 (vai ekvivalents)</t>
  </si>
  <si>
    <t>Masā tonēts apmetums ''Biezpiens'', graudu izmērs 2.5 mm Ceresit CT 72 (vai ekvivalents)</t>
  </si>
  <si>
    <t>Akmens vate ROCKWOOL FRONTROCK MAX E (vai ekvivaletns),  (lambda=0.036 W/mK), 200mm</t>
  </si>
  <si>
    <t xml:space="preserve">Fasādes špaktele Ceresit CT 29 (vai ekvivaletns) </t>
  </si>
  <si>
    <t>Atkritumu šahtu lūku noslēgšana</t>
  </si>
  <si>
    <t>1. BĒNIŅU STĀVA SILTINĀŠANA</t>
  </si>
  <si>
    <t>Tvaika izolācijas ieklāšana uz bēniņu grīdas</t>
  </si>
  <si>
    <t>PVC tvaika izolācija</t>
  </si>
  <si>
    <t>PVClīmlenta šuvēm</t>
  </si>
  <si>
    <t>Bēniņu grīdas siltināšana ar mehanizeto iestrādi, siltumizolācijas kopējais biezums pēc materiāla sēšanas 300 mm</t>
  </si>
  <si>
    <t>2. CITI REMONTDRABI</t>
  </si>
  <si>
    <t>Esošo koka durvju vērtņu saīsināšana par 300-350 mm, nepieciešamības gadījumā veikt esošo durvju stiprināšanu</t>
  </si>
  <si>
    <t>Esošo metāla durvju vērtņu saīsināšana par 300-350 mm, nepieciešamības gadījumā veikt esošo durvju stiprināšanu</t>
  </si>
  <si>
    <t>Esošo  durvju un jumta izejas demontāža</t>
  </si>
  <si>
    <t>Spraugu blīvēšana starp esošajiem inženierkomunikāciju stāvvadiem un pārseguma konstrukciju</t>
  </si>
  <si>
    <t>Ventilācijas restes stiprinajuma vietas pārbaude, nepieciešamības gadījumā stiprinājumu atjaunošana</t>
  </si>
  <si>
    <t>Kanalizācijas stāvavdu pagarināšana par 450 mm</t>
  </si>
  <si>
    <t>Atjaunot lietus  ūdens kanalizācijas guļvadu atbalstus no ķieģeļu mūra</t>
  </si>
  <si>
    <t>Izveidot sadzīves kanalizācijas guļvadu atbalstus no ķieģeļu mūra</t>
  </si>
  <si>
    <t>3. BĒNIŅU IEKŠSIENAS SILTINĀŠANA</t>
  </si>
  <si>
    <t xml:space="preserve">Palīgmateriāli </t>
  </si>
  <si>
    <t>4. KĀPŅU TELPAS GRIESTU  UN BĒNIŅU ŠAHTU GRIESTU I SILTINĀŠANA</t>
  </si>
  <si>
    <t>5. BĒNIŅU LAIPAS. (AR-13)</t>
  </si>
  <si>
    <t>Koka laipas ar platumu 1080, 1100, 1130 mm izbūve</t>
  </si>
  <si>
    <t>Antiseptizētas koka brusas 50*200 mm</t>
  </si>
  <si>
    <t>Antiseptizētas koka brusas 50*100 mm</t>
  </si>
  <si>
    <t>Antiseptizētas koka dēļi 30*100 mm</t>
  </si>
  <si>
    <t>Stiprinājumi (naglas, skrūves)</t>
  </si>
  <si>
    <t>Palīgmateriāli (ruberoids, utt.)</t>
  </si>
  <si>
    <t>Koka laipas ar platumu 1200 mm izbūve</t>
  </si>
  <si>
    <t>6. BENIŅU KĀPNES. (AR-13, ŠĶELUMS B1-B1)</t>
  </si>
  <si>
    <t>Cementa java</t>
  </si>
  <si>
    <t>Pakāpienu apflīzēšana, ieskaitot sānus</t>
  </si>
  <si>
    <t>7. VENTILĀCIJAS KANĀLU TĪRĪŠANA</t>
  </si>
  <si>
    <t>Vilkmes pārbaude, skursteņslauķa pakalpojumi</t>
  </si>
  <si>
    <t>BĒNIŅU SILTINĀŠANA</t>
  </si>
  <si>
    <t>Iztīrīt bēniņu telpu no esošājiem gružiem, bojātās tvaika un siltuma izolācjas</t>
  </si>
  <si>
    <t>Akmens vate ROCKWOOL FRONTROCK MAX E (vai ekvivalents),  (lambda=0.036 W/mK), 150mm</t>
  </si>
  <si>
    <t>Keramzīta bloki 3 Mpa</t>
  </si>
  <si>
    <t>Ventilācijas kanālu tīrīšana visā to garumā un vilkmes pārbaude, ko pārbauda sertificēts skursteņslauķis. Kanalu skaits precizējams veicot būvdarbus. Pieņēmts ka vienā komplektā ir 4 ventkanāli</t>
  </si>
  <si>
    <t>Pakāpienu mūrēšana no keramzīta blokiem</t>
  </si>
  <si>
    <t>Krāsa iekšdarbiem</t>
  </si>
  <si>
    <t>Lodžijas logu apdare no ārpuses</t>
  </si>
  <si>
    <t>Ugunsdrošās montāžas putas Penosil (vai ekvivalents)</t>
  </si>
  <si>
    <t>Durvju ailes apmešana, tikai maināmiem logiem</t>
  </si>
  <si>
    <t>1. BRUĢĒŠANAS DARBI. APMALE</t>
  </si>
  <si>
    <t>Bruģēšanas darbi, apmales platums 600 mm</t>
  </si>
  <si>
    <t>Sīkšķembas, 2-8mm, slānis 30 mm</t>
  </si>
  <si>
    <t>Šķembas, 16-45mm, 250 mm</t>
  </si>
  <si>
    <t>Smilts, 800-1000 mm</t>
  </si>
  <si>
    <t>Esošo asfalta seguma demontāža lieveņu priekšā</t>
  </si>
  <si>
    <t>Dalīta kabeļu aizsargcaurules, d.110 mm, iestrāde zem bruģa seguma</t>
  </si>
  <si>
    <t>Elektrokabeļa marķējuma lentas montāža</t>
  </si>
  <si>
    <t>1. LIFTA PIEGĀDE UN MONTĀŽA</t>
  </si>
  <si>
    <t>Esošā lifta demontāža un utilizācija, betona bloku demontāža lifta šahtas bedrē</t>
  </si>
  <si>
    <t>Zāliena atjaunošana, pievedot augsnes kārtu - 50mm biezumā, saglabājot reljefu ar kritumu prom no ēkas</t>
  </si>
  <si>
    <t>LIFTA PIEGĀDE UN MONTĀŽA</t>
  </si>
  <si>
    <t>Tērauda presējama  caurule - apkurei, Fe, d15-d15x1</t>
  </si>
  <si>
    <t>Tērauda presējama  caurule - apkurei, Fe, d18- d18x1</t>
  </si>
  <si>
    <t>Tērauda presējama  caurule - apkurei, Fe, d22- d22x1,2</t>
  </si>
  <si>
    <t>Tērauda presējama  caurule - apkurei, Fe, d28- d28x1,2</t>
  </si>
  <si>
    <t>Tērauda presējama  caurule - apkurei, Fe, d35- d35x1,5</t>
  </si>
  <si>
    <t>Tērauda presējama  caurule - apkurei, Fe, d42- 42x1,5</t>
  </si>
  <si>
    <t>Tērauda presējama  caurule - apkurei, Fe, d54- 54x1,5</t>
  </si>
  <si>
    <t>Tērauda presējamais līkums 90gr., d15-d15x1</t>
  </si>
  <si>
    <t>Tērauda presējams līkums 90gr., Fe, d18- 18x1</t>
  </si>
  <si>
    <t>Tērauda presējamais līkums 90gr., d28- d28x1,2</t>
  </si>
  <si>
    <t>Tērauda presējams līkums 90gr., Fe, d54- 54x1,5</t>
  </si>
  <si>
    <t>Tērauda presējams T-gabals 90gr., d15-d15x1</t>
  </si>
  <si>
    <t>Tērauda presējams T-gabals 90gr., d18/18/15</t>
  </si>
  <si>
    <t>Tērauda presējams T-gabals 90gr., d18/18</t>
  </si>
  <si>
    <t>Tērauda presējams T-gabals 90gr., d22/22/15</t>
  </si>
  <si>
    <t>Tērauda presējams T-gabals 90gr., d22/22</t>
  </si>
  <si>
    <t>Tērauda presējams T-gabals 90gr., d28/28/15</t>
  </si>
  <si>
    <t>Tērauda presējams T-gabals 90gr., Fe, 28/28/18</t>
  </si>
  <si>
    <t>Tērauda presējams T-gabals 90gr., Fe, 28/28/22</t>
  </si>
  <si>
    <t>Tērauda presējams T-gabals 90gr., Fe, 28/28</t>
  </si>
  <si>
    <t>Tērauda presējams T-gabals 90gr., Fe, 35/35/18</t>
  </si>
  <si>
    <t>Tērauda presējams T-gabals 90gr., Fe, 35/35/22</t>
  </si>
  <si>
    <t>Tērauda presējams T-gabals 90gr., Fe, 35/35/42</t>
  </si>
  <si>
    <t>Tērauda presējams T-gabals 90gr., Fe, 42/42/22</t>
  </si>
  <si>
    <t>Tērauda presējams T-gabals 90gr., Fe, 42/42/54</t>
  </si>
  <si>
    <t>Tērauda presējams T-gabals 90gr., Fe, 54/54</t>
  </si>
  <si>
    <t>Tērauda presējams X-gabals 90gr., Fe, 15/15/18/18</t>
  </si>
  <si>
    <t>Tērauda presējama pāreja, Fe, 18/15</t>
  </si>
  <si>
    <t>Tērauda presējama pāreja, Fe, 22/15</t>
  </si>
  <si>
    <t>Tērauda presējama pāreja, Fe, 22/18</t>
  </si>
  <si>
    <t>Tērauda presējama pāreja, Fe, 28/15</t>
  </si>
  <si>
    <t>Tērauda presējama pāreja, Fe, 28/18</t>
  </si>
  <si>
    <t>Tērauda presējama pāreja, Fe, 28/22</t>
  </si>
  <si>
    <t>Tērauda presējama pāreja, Fe, 35/28</t>
  </si>
  <si>
    <t>Tērauda presējama pāreja, Fe, 42/35</t>
  </si>
  <si>
    <t>Tērauda presējama pāreja, Fe, 54/42</t>
  </si>
  <si>
    <t>Tērauda radiators ar sienas stiprinājumiem un atgaisotāju, Purmo  Compact, C11-400-400</t>
  </si>
  <si>
    <t>Tērauda radiators ar sienas stiprinājumiem un atgaisotāju, Purmo  Compact, C11-400-600</t>
  </si>
  <si>
    <t>Tērauda radiators ar sienas stiprinājumiem un atgaisotāju, Purmo  Compact, C11-400-700</t>
  </si>
  <si>
    <t>Tērauda radiators ar sienas stiprinājumiem un atgaisotāju, Purmo  Compact, C11-400-800</t>
  </si>
  <si>
    <t>Tērauda radiators ar sienas stiprinājumiem un atgaisotāju, Purmo  Compact, C11-400-900</t>
  </si>
  <si>
    <t>Tērauda radiators ar sienas stiprinājumiem un atgaisotāju, Purmo  Compact, C11-400-1000</t>
  </si>
  <si>
    <t>Tērauda radiators ar sienas stiprinājumiem un atgaisotāju, Purmo  Compact, C11-400-1100</t>
  </si>
  <si>
    <t>Tērauda radiators ar sienas stiprinājumiem un atgaisotāju, Purmo  Compact, C22-400-500</t>
  </si>
  <si>
    <t>Tērauda radiators ar sienas stiprinājumiem un atgaisotāju, Purmo  Compact, C22-400-600</t>
  </si>
  <si>
    <t>Tērauda radiators ar sienas stiprinājumiem un atgaisotāju, Purmo  Compact, C22-400-700</t>
  </si>
  <si>
    <t>Tērauda radiators ar sienas stiprinājumiem un atgaisotāju, Purmo  Compact, C22-400-800</t>
  </si>
  <si>
    <t>Tērauda radiators ar sienas stiprinājumiem un atgaisotāju, Purmo  Compact, C22-400-900</t>
  </si>
  <si>
    <t>Tērauda radiators ar sienas stiprinājumiem un atgaisotāju, Purmo  Compact, C22-400-1000</t>
  </si>
  <si>
    <t>Tērauda radiators ar sienas stiprinājumiem un atgaisotāju, Purmo  Compact, C22-400-1100</t>
  </si>
  <si>
    <t>Tērauda radiators ar sienas stiprinājumiem un atgaisotāju, Purmo  Compact, C22-400-1200</t>
  </si>
  <si>
    <t>Tērauda radiators ar sienas stiprinājumiem un atgaisotāju, Purmo  Compact, C22-400-1400</t>
  </si>
  <si>
    <t>Radiatora termogalva ar vārstu komplekts, Danfos, RA-DV Dn15, RA 2000 ar tempratūras ierobežojumu +16 °C</t>
  </si>
  <si>
    <t>Radiatora noslēgvārsts ar priekšiestādījumu, Danfos, RLV Dn</t>
  </si>
  <si>
    <t>Lodveida ventilis t=110˚; P=8 bar, DN20</t>
  </si>
  <si>
    <t>Lodveida ventilis t=110˚; P=8 bar, DN25</t>
  </si>
  <si>
    <t>Lodveida ventilis t=110˚; P=8 bar, DN32</t>
  </si>
  <si>
    <t>Lodveida ventilis t=110˚; P=8 bar, DN40</t>
  </si>
  <si>
    <t>Lodveida ventilis t=110˚; P=8 bar, DN50</t>
  </si>
  <si>
    <t>Balansēšanas vārsts t=110˚; P=8 bar, DN32</t>
  </si>
  <si>
    <t>Balansēšanas vārsts t=110˚; P=8 bar, DN40</t>
  </si>
  <si>
    <t>Automātiskais atgaisotājs, Dn15</t>
  </si>
  <si>
    <t>Izlaides ventilis ar gala vāku, Dn15</t>
  </si>
  <si>
    <t>Akmensvates izolācijas čaula, ar alum. atstarojošo slāni; b=50mm, Paroc (λD=0,045 W/m*K), PAROC Hvac Section AluCoat T 18/50</t>
  </si>
  <si>
    <t>Akmensvates izolācijas čaula, ar alum. atstarojošo slāni; b=50mm, Paroc (λD=0,045 W/m*K),  PAROC Hvac Section AluCoat T 22/50</t>
  </si>
  <si>
    <t>Akmensvates izolācijas čaula, ar alum. atstarojošo slāni; b=50mm, Paroc (λD=0,045 W/m*K),  PAROC Hvac Section AluCoat T 28/50</t>
  </si>
  <si>
    <t>Akmensvates izolācijas čaula, ar alum. atstarojošo slāni; b=50mm, Paroc (λD=0,045 W/m*K), PAROC Hvac Section AluCoat T 35/50</t>
  </si>
  <si>
    <t>Akmensvates izolācijas čaula, ar alum. atstarojošo slāni; b=50mm, Paroc (λD=0,045 W/m*K), PAROC Hvac Section AluCoat T 42/50</t>
  </si>
  <si>
    <t>Akmensvates izolācijas čaula, ar alum. atstarojošo slāni; b=50mm, Paroc (λD=0,045 W/m*K), PAROC Hvac Section AluCoat T 48//50</t>
  </si>
  <si>
    <t>Akmensvates izolācijas čaula, ar alum. atstarojošo slāni; b=50mm, Paroc (λD=0,045 W/m*K), PAROC Hvac Section AluCoat T 60/50</t>
  </si>
  <si>
    <t>PVC pārklājums</t>
  </si>
  <si>
    <t xml:space="preserve">Apkures  hidrauliskās pārbaude un sistēmas skalošana </t>
  </si>
  <si>
    <t>Pārsegumu šķērsošanas vietas uzlabošana (špaktelēšana, krāsošana), ugunsdrošs blīvējums ieskaitot</t>
  </si>
  <si>
    <t xml:space="preserve">Esošo stāvvadu vietas aizvēršana  un vietas uzlabošana </t>
  </si>
  <si>
    <t>Zibensuztvērēja masta montāža</t>
  </si>
  <si>
    <t>Zibensnovedēja stieples montāža pa sienu, jumtu</t>
  </si>
  <si>
    <t>Zibensnovedēja stieple 8mm, aluminija, PVC izolācijā montāža</t>
  </si>
  <si>
    <t>Stieples turētāja montāža</t>
  </si>
  <si>
    <t>Pārbaudes kaste z/a ar spaili montāža</t>
  </si>
  <si>
    <t>Diognālās krustklemmes montāža</t>
  </si>
  <si>
    <t>Mērījumu klemmes stieple/stieple montāža</t>
  </si>
  <si>
    <t>Zemējuma vada montāža</t>
  </si>
  <si>
    <t>Cietās PVC aizsargcaurules montāža</t>
  </si>
  <si>
    <t>Esošo metāla elementu sazemēšana uz jumta</t>
  </si>
  <si>
    <t>Pretkorozijas lentas uzstādīšana</t>
  </si>
  <si>
    <t>Zibensnovedēja stieple 8mm, alumīnija</t>
  </si>
  <si>
    <t>Zibensnovedēja stieple 8mm, alumīnija, PVC izolācijā</t>
  </si>
  <si>
    <t>Pārbaudes kaste z/a ar spaili</t>
  </si>
  <si>
    <t>Diagonālā krustklemme  stieples savienošanai</t>
  </si>
  <si>
    <t>Zemējuma vads H07V-K 1x16mm2 lokans dzeltenzaļš</t>
  </si>
  <si>
    <t>Cietā PVC aizsargcaurle zemējuma vadam, d=16mm</t>
  </si>
  <si>
    <t>Esošo metāla elementu uz jumta sazemēšana</t>
  </si>
  <si>
    <t>Pretkorozijas lenta, 10m rullis</t>
  </si>
  <si>
    <t>Uztvērēja masts ar atsaitēm - h=4m</t>
  </si>
  <si>
    <t>Liekās grunts aizvešana</t>
  </si>
  <si>
    <t>Zemes rakšanas darbi dziļumā līdz 1000 mm no apmales virsmas un aizberšanas darbi, blietējot pa kārtām (tanī skaitā ieejas mezgla priekšpusē)</t>
  </si>
  <si>
    <t>LOGU APDARE, LODŽIJU APDARE, KĀPŅU TELPAS REMONTDARBI, LOKĀLA FASĀDES APDARE</t>
  </si>
  <si>
    <t>Siltā ūdens guļvadu siltumizolācijas (lambda=0.045 W/mK, Hvac Section AluCoat T vai ekvivalents) 30 mm montāža posmos, kuros nav izolācijas vai viņa ir bojāta</t>
  </si>
  <si>
    <t>Esošajos lodžiju logos, kuras paredzēts aizstiklot, logos veramājā daļa uzstādīt dabīgas ventilācijas sistēmu Gealan Gecco 3 (vai ekvivalents)</t>
  </si>
  <si>
    <t>Beramā vate BLT 3 (lambda 0.041 W/mK), Paroc (vai ekvivalents)</t>
  </si>
  <si>
    <t>Elektriskā pasažieru lifta ar mašīntelpu, ar celtspēju 400 kg/5 personas, ar 12 pieturām piegāde, montāža, sertifikācija un nodošana ekspluatācijā - pilnu specifikāciju skatīt skaidrojošā aprakstā</t>
  </si>
  <si>
    <t>Elektriskā pasažieru lifta ar mašīntelpu, ar celtspēju 630 kg/8 personas, ar 12 pieturām piegāde, montāža, sertifikācija un nodošana ekspluatācijā - pilnu specifikāciju skatīt skaidrojošā aprakstā</t>
  </si>
  <si>
    <t xml:space="preserve">Tāme sastādīta </t>
  </si>
  <si>
    <t xml:space="preserve">Tiešās izmaksas kopā, t. sk. darba devēja sociālais nodoklis 23.59% </t>
  </si>
  <si>
    <t>Tiešās izmaksas kopā, t. sk. darba devēja sociālais nodoklis 23.59</t>
  </si>
  <si>
    <t>Tāme sastādīta  20__. gada tirgus cenās, pamatojoties uz ___ daļas rasējumiem</t>
  </si>
  <si>
    <t>Tiešās izmaksas kopā, t. sk. darba devēja sociālais nodoklis 23.59%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</si>
</sst>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;;"/>
    <numFmt numFmtId="165" formatCode="0;;"/>
    <numFmt numFmtId="166" formatCode="0.0%"/>
    <numFmt numFmtId="167" formatCode="0.0"/>
    <numFmt numFmtId="168" formatCode="0.000"/>
  </numFmts>
  <fonts count="21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</font>
    <font>
      <b/>
      <sz val="10"/>
      <color indexed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0"/>
      <color indexed="8"/>
      <name val="Times New Roman"/>
      <family val="1"/>
      <charset val="1"/>
    </font>
    <font>
      <sz val="8"/>
      <name val="Times New Roman"/>
      <family val="1"/>
      <charset val="186"/>
    </font>
    <font>
      <sz val="10"/>
      <name val="Times New Roman"/>
      <family val="1"/>
      <charset val="1"/>
    </font>
    <font>
      <sz val="10"/>
      <name val="Times New Roman"/>
      <family val="1"/>
    </font>
    <font>
      <sz val="10"/>
      <color indexed="10"/>
      <name val="Times New Roman"/>
      <family val="1"/>
      <charset val="186"/>
    </font>
    <font>
      <b/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4" fillId="0" borderId="0"/>
    <xf numFmtId="0" fontId="10" fillId="0" borderId="0"/>
    <xf numFmtId="0" fontId="3" fillId="0" borderId="0"/>
  </cellStyleXfs>
  <cellXfs count="30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/>
    <xf numFmtId="4" fontId="1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31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5" fontId="1" fillId="0" borderId="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wrapText="1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6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9" xfId="2" applyNumberFormat="1" applyFont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0" fontId="1" fillId="0" borderId="42" xfId="0" applyFont="1" applyBorder="1"/>
    <xf numFmtId="2" fontId="1" fillId="0" borderId="3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43" xfId="0" applyNumberFormat="1" applyFont="1" applyBorder="1" applyAlignment="1">
      <alignment horizontal="center" vertical="center" wrapText="1"/>
    </xf>
    <xf numFmtId="164" fontId="1" fillId="0" borderId="16" xfId="0" quotePrefix="1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 textRotation="90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164" fontId="2" fillId="0" borderId="45" xfId="0" applyNumberFormat="1" applyFont="1" applyBorder="1" applyAlignment="1">
      <alignment horizontal="center" vertical="center" wrapText="1"/>
    </xf>
    <xf numFmtId="164" fontId="1" fillId="0" borderId="45" xfId="2" applyNumberFormat="1" applyFont="1" applyBorder="1" applyAlignment="1">
      <alignment horizontal="center" vertical="center"/>
    </xf>
    <xf numFmtId="164" fontId="1" fillId="0" borderId="46" xfId="0" applyNumberFormat="1" applyFont="1" applyBorder="1" applyAlignment="1">
      <alignment horizontal="center" vertical="center" wrapText="1"/>
    </xf>
    <xf numFmtId="164" fontId="1" fillId="0" borderId="44" xfId="2" applyNumberFormat="1" applyFont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wrapText="1"/>
    </xf>
    <xf numFmtId="0" fontId="2" fillId="0" borderId="41" xfId="0" applyFont="1" applyBorder="1" applyAlignment="1">
      <alignment wrapText="1"/>
    </xf>
    <xf numFmtId="0" fontId="2" fillId="0" borderId="39" xfId="0" applyFont="1" applyBorder="1" applyAlignment="1">
      <alignment wrapText="1"/>
    </xf>
    <xf numFmtId="164" fontId="1" fillId="0" borderId="0" xfId="0" applyNumberFormat="1" applyFont="1" applyAlignment="1">
      <alignment horizontal="center" vertical="justify"/>
    </xf>
    <xf numFmtId="1" fontId="1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0" fontId="5" fillId="0" borderId="6" xfId="1" applyFont="1" applyBorder="1" applyAlignment="1">
      <alignment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justify"/>
    </xf>
    <xf numFmtId="9" fontId="1" fillId="0" borderId="40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65" fontId="1" fillId="0" borderId="1" xfId="0" applyNumberFormat="1" applyFont="1" applyBorder="1" applyAlignment="1"/>
    <xf numFmtId="1" fontId="1" fillId="0" borderId="0" xfId="0" applyNumberFormat="1" applyFont="1" applyAlignment="1"/>
    <xf numFmtId="0" fontId="1" fillId="0" borderId="6" xfId="0" applyFont="1" applyBorder="1" applyAlignment="1">
      <alignment wrapText="1"/>
    </xf>
    <xf numFmtId="164" fontId="9" fillId="0" borderId="45" xfId="0" applyNumberFormat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wrapText="1"/>
    </xf>
    <xf numFmtId="0" fontId="14" fillId="0" borderId="29" xfId="0" applyFont="1" applyFill="1" applyBorder="1" applyAlignment="1">
      <alignment horizontal="right" vertical="center" wrapText="1"/>
    </xf>
    <xf numFmtId="0" fontId="14" fillId="0" borderId="29" xfId="0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vertical="center"/>
    </xf>
    <xf numFmtId="0" fontId="8" fillId="0" borderId="21" xfId="1" applyFont="1" applyFill="1" applyBorder="1" applyAlignment="1">
      <alignment horizontal="center" vertical="center" wrapText="1"/>
    </xf>
    <xf numFmtId="0" fontId="6" fillId="0" borderId="21" xfId="1" applyFont="1" applyFill="1" applyBorder="1" applyAlignment="1">
      <alignment horizontal="center" vertical="center" wrapText="1"/>
    </xf>
    <xf numFmtId="2" fontId="15" fillId="0" borderId="22" xfId="1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29" xfId="1" applyFont="1" applyFill="1" applyBorder="1" applyAlignment="1">
      <alignment vertical="center"/>
    </xf>
    <xf numFmtId="0" fontId="13" fillId="0" borderId="29" xfId="4" applyFont="1" applyFill="1" applyBorder="1" applyAlignment="1">
      <alignment horizontal="left" vertical="center" wrapText="1"/>
    </xf>
    <xf numFmtId="2" fontId="7" fillId="0" borderId="30" xfId="4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vertical="center" wrapText="1"/>
    </xf>
    <xf numFmtId="2" fontId="9" fillId="0" borderId="30" xfId="0" applyNumberFormat="1" applyFont="1" applyFill="1" applyBorder="1" applyAlignment="1">
      <alignment horizontal="center" vertical="center"/>
    </xf>
    <xf numFmtId="0" fontId="11" fillId="0" borderId="5" xfId="4" applyFont="1" applyFill="1" applyBorder="1" applyAlignment="1">
      <alignment horizontal="center" vertical="center"/>
    </xf>
    <xf numFmtId="0" fontId="2" fillId="0" borderId="41" xfId="0" applyFont="1" applyBorder="1" applyAlignment="1">
      <alignment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29" xfId="0" applyFont="1" applyFill="1" applyBorder="1" applyAlignment="1" applyProtection="1">
      <alignment horizontal="center" vertical="center" wrapText="1"/>
    </xf>
    <xf numFmtId="0" fontId="6" fillId="0" borderId="29" xfId="0" applyFont="1" applyFill="1" applyBorder="1" applyAlignment="1">
      <alignment vertical="center" wrapText="1"/>
    </xf>
    <xf numFmtId="2" fontId="6" fillId="0" borderId="29" xfId="0" applyNumberFormat="1" applyFont="1" applyFill="1" applyBorder="1" applyAlignment="1">
      <alignment horizontal="center" vertical="center" wrapText="1"/>
    </xf>
    <xf numFmtId="2" fontId="7" fillId="0" borderId="30" xfId="0" applyNumberFormat="1" applyFont="1" applyFill="1" applyBorder="1" applyAlignment="1">
      <alignment horizontal="center" vertical="center" wrapText="1"/>
    </xf>
    <xf numFmtId="2" fontId="6" fillId="0" borderId="47" xfId="0" applyNumberFormat="1" applyFont="1" applyFill="1" applyBorder="1" applyAlignment="1">
      <alignment horizontal="center" vertical="center"/>
    </xf>
    <xf numFmtId="4" fontId="6" fillId="0" borderId="29" xfId="5" applyNumberFormat="1" applyFont="1" applyFill="1" applyBorder="1" applyAlignment="1" applyProtection="1">
      <alignment horizontal="center" vertical="center"/>
    </xf>
    <xf numFmtId="4" fontId="6" fillId="0" borderId="29" xfId="0" applyNumberFormat="1" applyFont="1" applyFill="1" applyBorder="1" applyAlignment="1" applyProtection="1">
      <alignment horizontal="center" vertical="center"/>
    </xf>
    <xf numFmtId="4" fontId="6" fillId="0" borderId="30" xfId="5" applyNumberFormat="1" applyFont="1" applyFill="1" applyBorder="1" applyAlignment="1" applyProtection="1">
      <alignment horizontal="center" vertical="center"/>
    </xf>
    <xf numFmtId="2" fontId="6" fillId="0" borderId="29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>
      <alignment horizontal="center" vertical="center"/>
    </xf>
    <xf numFmtId="0" fontId="9" fillId="0" borderId="21" xfId="0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horizontal="center" vertical="center" wrapText="1"/>
    </xf>
    <xf numFmtId="0" fontId="6" fillId="0" borderId="22" xfId="0" applyFont="1" applyFill="1" applyBorder="1" applyAlignment="1" applyProtection="1">
      <alignment horizontal="center" vertical="center" wrapText="1"/>
    </xf>
    <xf numFmtId="2" fontId="6" fillId="0" borderId="20" xfId="0" applyNumberFormat="1" applyFont="1" applyFill="1" applyBorder="1" applyAlignment="1">
      <alignment horizontal="center" vertical="center"/>
    </xf>
    <xf numFmtId="4" fontId="6" fillId="0" borderId="21" xfId="5" applyNumberFormat="1" applyFont="1" applyFill="1" applyBorder="1" applyAlignment="1" applyProtection="1">
      <alignment horizontal="center" vertical="center"/>
    </xf>
    <xf numFmtId="4" fontId="6" fillId="0" borderId="21" xfId="0" applyNumberFormat="1" applyFont="1" applyFill="1" applyBorder="1" applyAlignment="1" applyProtection="1">
      <alignment horizontal="center" vertical="center"/>
    </xf>
    <xf numFmtId="4" fontId="6" fillId="0" borderId="22" xfId="5" applyNumberFormat="1" applyFont="1" applyFill="1" applyBorder="1" applyAlignment="1" applyProtection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29" xfId="4" applyFont="1" applyFill="1" applyBorder="1" applyAlignment="1">
      <alignment horizontal="center" vertical="center" wrapText="1"/>
    </xf>
    <xf numFmtId="0" fontId="9" fillId="0" borderId="29" xfId="0" applyFont="1" applyFill="1" applyBorder="1" applyAlignment="1" applyProtection="1">
      <alignment horizontal="center" vertical="center" wrapText="1"/>
    </xf>
    <xf numFmtId="0" fontId="6" fillId="0" borderId="30" xfId="0" applyFont="1" applyFill="1" applyBorder="1" applyAlignment="1" applyProtection="1">
      <alignment horizontal="center" vertical="center" wrapText="1"/>
    </xf>
    <xf numFmtId="4" fontId="6" fillId="0" borderId="20" xfId="1" applyNumberFormat="1" applyFont="1" applyFill="1" applyBorder="1" applyAlignment="1" applyProtection="1">
      <alignment horizontal="center" vertical="center"/>
    </xf>
    <xf numFmtId="4" fontId="6" fillId="0" borderId="21" xfId="1" applyNumberFormat="1" applyFont="1" applyFill="1" applyBorder="1" applyAlignment="1" applyProtection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 wrapText="1"/>
    </xf>
    <xf numFmtId="2" fontId="15" fillId="0" borderId="30" xfId="1" applyNumberFormat="1" applyFont="1" applyFill="1" applyBorder="1" applyAlignment="1">
      <alignment horizontal="center" vertical="center"/>
    </xf>
    <xf numFmtId="4" fontId="6" fillId="0" borderId="47" xfId="1" applyNumberFormat="1" applyFont="1" applyFill="1" applyBorder="1" applyAlignment="1" applyProtection="1">
      <alignment horizontal="center" vertical="center"/>
    </xf>
    <xf numFmtId="4" fontId="6" fillId="0" borderId="29" xfId="1" applyNumberFormat="1" applyFont="1" applyFill="1" applyBorder="1" applyAlignment="1" applyProtection="1">
      <alignment horizontal="center" vertical="center"/>
    </xf>
    <xf numFmtId="4" fontId="9" fillId="0" borderId="29" xfId="1" applyNumberFormat="1" applyFont="1" applyFill="1" applyBorder="1" applyAlignment="1" applyProtection="1">
      <alignment horizontal="center" vertical="center"/>
    </xf>
    <xf numFmtId="4" fontId="18" fillId="0" borderId="30" xfId="1" applyNumberFormat="1" applyFont="1" applyFill="1" applyBorder="1" applyAlignment="1" applyProtection="1">
      <alignment horizontal="center" vertical="center"/>
    </xf>
    <xf numFmtId="0" fontId="1" fillId="0" borderId="0" xfId="0" applyFont="1" applyFill="1"/>
    <xf numFmtId="0" fontId="6" fillId="0" borderId="29" xfId="4" applyFont="1" applyFill="1" applyBorder="1" applyAlignment="1">
      <alignment horizontal="center" vertical="center"/>
    </xf>
    <xf numFmtId="4" fontId="6" fillId="0" borderId="22" xfId="1" applyNumberFormat="1" applyFont="1" applyFill="1" applyBorder="1" applyAlignment="1" applyProtection="1">
      <alignment horizontal="center" vertical="center"/>
    </xf>
    <xf numFmtId="2" fontId="16" fillId="0" borderId="30" xfId="0" applyNumberFormat="1" applyFont="1" applyFill="1" applyBorder="1" applyAlignment="1">
      <alignment horizontal="center" vertical="center"/>
    </xf>
    <xf numFmtId="167" fontId="9" fillId="0" borderId="30" xfId="0" applyNumberFormat="1" applyFont="1" applyFill="1" applyBorder="1" applyAlignment="1">
      <alignment horizontal="center" vertical="center"/>
    </xf>
    <xf numFmtId="4" fontId="6" fillId="0" borderId="30" xfId="1" applyNumberFormat="1" applyFont="1" applyFill="1" applyBorder="1" applyAlignment="1" applyProtection="1">
      <alignment horizontal="center" vertical="center"/>
    </xf>
    <xf numFmtId="2" fontId="9" fillId="0" borderId="30" xfId="0" applyNumberFormat="1" applyFont="1" applyFill="1" applyBorder="1" applyAlignment="1">
      <alignment horizontal="center" vertical="center" wrapText="1"/>
    </xf>
    <xf numFmtId="168" fontId="9" fillId="0" borderId="30" xfId="0" applyNumberFormat="1" applyFont="1" applyFill="1" applyBorder="1" applyAlignment="1">
      <alignment horizontal="center" vertical="center"/>
    </xf>
    <xf numFmtId="4" fontId="6" fillId="0" borderId="33" xfId="5" applyNumberFormat="1" applyFont="1" applyFill="1" applyBorder="1" applyAlignment="1" applyProtection="1">
      <alignment horizontal="center" vertical="center"/>
    </xf>
    <xf numFmtId="4" fontId="6" fillId="0" borderId="34" xfId="5" applyNumberFormat="1" applyFont="1" applyFill="1" applyBorder="1" applyAlignment="1" applyProtection="1">
      <alignment horizontal="center" vertical="center"/>
    </xf>
    <xf numFmtId="0" fontId="1" fillId="0" borderId="4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6" fillId="0" borderId="44" xfId="1" applyFont="1" applyFill="1" applyBorder="1" applyAlignment="1">
      <alignment horizontal="center" vertical="center"/>
    </xf>
    <xf numFmtId="0" fontId="6" fillId="0" borderId="45" xfId="1" applyFont="1" applyFill="1" applyBorder="1" applyAlignment="1">
      <alignment vertical="center"/>
    </xf>
    <xf numFmtId="0" fontId="8" fillId="0" borderId="45" xfId="1" applyFont="1" applyFill="1" applyBorder="1" applyAlignment="1">
      <alignment horizontal="center" vertical="center" wrapText="1"/>
    </xf>
    <xf numFmtId="0" fontId="6" fillId="0" borderId="45" xfId="1" applyFont="1" applyFill="1" applyBorder="1" applyAlignment="1">
      <alignment horizontal="center" vertical="center" wrapText="1"/>
    </xf>
    <xf numFmtId="2" fontId="15" fillId="0" borderId="46" xfId="1" applyNumberFormat="1" applyFont="1" applyFill="1" applyBorder="1" applyAlignment="1">
      <alignment horizontal="center" vertical="center"/>
    </xf>
    <xf numFmtId="4" fontId="6" fillId="0" borderId="48" xfId="1" applyNumberFormat="1" applyFont="1" applyFill="1" applyBorder="1" applyAlignment="1" applyProtection="1">
      <alignment horizontal="center" vertical="center"/>
    </xf>
    <xf numFmtId="4" fontId="6" fillId="0" borderId="45" xfId="1" applyNumberFormat="1" applyFont="1" applyFill="1" applyBorder="1" applyAlignment="1" applyProtection="1">
      <alignment horizontal="center" vertical="center"/>
    </xf>
    <xf numFmtId="4" fontId="6" fillId="0" borderId="46" xfId="1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wrapText="1"/>
    </xf>
    <xf numFmtId="4" fontId="6" fillId="0" borderId="45" xfId="5" applyNumberFormat="1" applyFont="1" applyFill="1" applyBorder="1" applyAlignment="1" applyProtection="1">
      <alignment horizontal="center" vertical="center"/>
    </xf>
    <xf numFmtId="4" fontId="6" fillId="0" borderId="46" xfId="5" applyNumberFormat="1" applyFont="1" applyFill="1" applyBorder="1" applyAlignment="1" applyProtection="1">
      <alignment horizontal="center" vertical="center"/>
    </xf>
    <xf numFmtId="0" fontId="19" fillId="0" borderId="29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 wrapText="1"/>
    </xf>
    <xf numFmtId="164" fontId="2" fillId="0" borderId="49" xfId="2" applyNumberFormat="1" applyFont="1" applyBorder="1" applyAlignment="1">
      <alignment horizontal="center" vertical="center"/>
    </xf>
    <xf numFmtId="4" fontId="6" fillId="0" borderId="6" xfId="5" applyNumberFormat="1" applyFont="1" applyFill="1" applyBorder="1" applyAlignment="1" applyProtection="1">
      <alignment horizontal="center" vertical="center"/>
    </xf>
    <xf numFmtId="164" fontId="2" fillId="0" borderId="6" xfId="2" applyNumberFormat="1" applyFont="1" applyBorder="1" applyAlignment="1">
      <alignment horizontal="center" vertical="center"/>
    </xf>
    <xf numFmtId="164" fontId="1" fillId="0" borderId="2" xfId="2" applyNumberFormat="1" applyFont="1" applyBorder="1" applyAlignment="1">
      <alignment horizontal="center" vertical="center"/>
    </xf>
    <xf numFmtId="164" fontId="1" fillId="0" borderId="21" xfId="2" applyNumberFormat="1" applyFont="1" applyBorder="1" applyAlignment="1">
      <alignment horizontal="center" vertical="center"/>
    </xf>
    <xf numFmtId="164" fontId="2" fillId="0" borderId="22" xfId="2" applyNumberFormat="1" applyFont="1" applyBorder="1" applyAlignment="1">
      <alignment horizontal="center" vertical="center"/>
    </xf>
    <xf numFmtId="4" fontId="6" fillId="0" borderId="5" xfId="5" applyNumberFormat="1" applyFont="1" applyFill="1" applyBorder="1" applyAlignment="1" applyProtection="1">
      <alignment horizontal="center" vertical="center"/>
    </xf>
    <xf numFmtId="4" fontId="6" fillId="0" borderId="32" xfId="5" applyNumberFormat="1" applyFont="1" applyFill="1" applyBorder="1" applyAlignment="1" applyProtection="1">
      <alignment horizontal="center" vertical="center"/>
    </xf>
    <xf numFmtId="4" fontId="6" fillId="0" borderId="3" xfId="5" applyNumberFormat="1" applyFont="1" applyFill="1" applyBorder="1" applyAlignment="1" applyProtection="1">
      <alignment horizontal="center" vertical="center"/>
    </xf>
    <xf numFmtId="4" fontId="6" fillId="0" borderId="2" xfId="5" applyNumberFormat="1" applyFont="1" applyFill="1" applyBorder="1" applyAlignment="1" applyProtection="1">
      <alignment horizontal="center" vertical="center"/>
    </xf>
    <xf numFmtId="4" fontId="6" fillId="0" borderId="6" xfId="1" applyNumberFormat="1" applyFont="1" applyFill="1" applyBorder="1" applyAlignment="1" applyProtection="1">
      <alignment horizontal="center" vertical="center"/>
    </xf>
    <xf numFmtId="4" fontId="6" fillId="0" borderId="5" xfId="1" applyNumberFormat="1" applyFont="1" applyFill="1" applyBorder="1" applyAlignment="1" applyProtection="1">
      <alignment horizontal="center" vertical="center"/>
    </xf>
    <xf numFmtId="4" fontId="6" fillId="0" borderId="3" xfId="1" applyNumberFormat="1" applyFont="1" applyFill="1" applyBorder="1" applyAlignment="1" applyProtection="1">
      <alignment horizontal="center" vertical="center"/>
    </xf>
    <xf numFmtId="4" fontId="6" fillId="0" borderId="2" xfId="1" applyNumberFormat="1" applyFont="1" applyFill="1" applyBorder="1" applyAlignment="1" applyProtection="1">
      <alignment horizontal="center" vertical="center"/>
    </xf>
    <xf numFmtId="4" fontId="6" fillId="0" borderId="49" xfId="1" applyNumberFormat="1" applyFont="1" applyFill="1" applyBorder="1" applyAlignment="1" applyProtection="1">
      <alignment horizontal="center" vertical="center"/>
    </xf>
    <xf numFmtId="4" fontId="6" fillId="0" borderId="44" xfId="1" applyNumberFormat="1" applyFont="1" applyFill="1" applyBorder="1" applyAlignment="1" applyProtection="1">
      <alignment horizontal="center" vertical="center"/>
    </xf>
    <xf numFmtId="4" fontId="6" fillId="0" borderId="49" xfId="5" applyNumberFormat="1" applyFont="1" applyFill="1" applyBorder="1" applyAlignment="1" applyProtection="1">
      <alignment horizontal="center" vertical="center"/>
    </xf>
    <xf numFmtId="4" fontId="6" fillId="0" borderId="44" xfId="5" applyNumberFormat="1" applyFont="1" applyFill="1" applyBorder="1" applyAlignment="1" applyProtection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4" fontId="9" fillId="0" borderId="21" xfId="1" applyNumberFormat="1" applyFont="1" applyFill="1" applyBorder="1" applyAlignment="1" applyProtection="1">
      <alignment horizontal="center" vertical="center"/>
    </xf>
    <xf numFmtId="4" fontId="18" fillId="0" borderId="22" xfId="1" applyNumberFormat="1" applyFont="1" applyFill="1" applyBorder="1" applyAlignment="1" applyProtection="1">
      <alignment horizontal="center" vertical="center"/>
    </xf>
    <xf numFmtId="0" fontId="17" fillId="0" borderId="29" xfId="0" applyFont="1" applyFill="1" applyBorder="1" applyAlignment="1">
      <alignment vertical="center" wrapText="1"/>
    </xf>
    <xf numFmtId="2" fontId="7" fillId="0" borderId="30" xfId="0" applyNumberFormat="1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left" vertical="center" wrapText="1"/>
    </xf>
    <xf numFmtId="1" fontId="20" fillId="0" borderId="29" xfId="0" applyNumberFormat="1" applyFont="1" applyFill="1" applyBorder="1" applyAlignment="1">
      <alignment horizontal="center" vertical="center"/>
    </xf>
    <xf numFmtId="1" fontId="20" fillId="0" borderId="29" xfId="0" applyNumberFormat="1" applyFont="1" applyFill="1" applyBorder="1" applyAlignment="1">
      <alignment horizontal="left" vertical="center"/>
    </xf>
    <xf numFmtId="0" fontId="20" fillId="0" borderId="29" xfId="0" applyFont="1" applyFill="1" applyBorder="1" applyAlignment="1">
      <alignment horizontal="center" vertical="center" wrapText="1"/>
    </xf>
    <xf numFmtId="1" fontId="20" fillId="0" borderId="29" xfId="0" applyNumberFormat="1" applyFont="1" applyFill="1" applyBorder="1" applyAlignment="1">
      <alignment horizontal="left" vertical="center" wrapText="1"/>
    </xf>
    <xf numFmtId="1" fontId="20" fillId="0" borderId="29" xfId="0" applyNumberFormat="1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2" fontId="1" fillId="0" borderId="0" xfId="0" applyNumberFormat="1" applyFont="1" applyFill="1" applyAlignment="1">
      <alignment vertical="center"/>
    </xf>
    <xf numFmtId="9" fontId="1" fillId="0" borderId="0" xfId="0" applyNumberFormat="1" applyFont="1" applyFill="1" applyAlignment="1"/>
    <xf numFmtId="165" fontId="1" fillId="0" borderId="1" xfId="0" applyNumberFormat="1" applyFont="1" applyFill="1" applyBorder="1" applyAlignment="1"/>
    <xf numFmtId="0" fontId="1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horizontal="right" vertical="justify"/>
    </xf>
    <xf numFmtId="164" fontId="2" fillId="0" borderId="41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164" fontId="2" fillId="0" borderId="39" xfId="0" applyNumberFormat="1" applyFont="1" applyBorder="1" applyAlignment="1">
      <alignment horizontal="left"/>
    </xf>
    <xf numFmtId="0" fontId="1" fillId="0" borderId="0" xfId="0" applyFont="1" applyAlignment="1">
      <alignment horizontal="center" vertical="justify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1" fillId="0" borderId="39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left" vertical="top" wrapText="1"/>
    </xf>
    <xf numFmtId="164" fontId="1" fillId="0" borderId="22" xfId="0" applyNumberFormat="1" applyFont="1" applyBorder="1" applyAlignment="1">
      <alignment horizontal="left" vertical="top" wrapText="1"/>
    </xf>
    <xf numFmtId="164" fontId="1" fillId="0" borderId="29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left" vertical="top" wrapText="1"/>
    </xf>
    <xf numFmtId="164" fontId="1" fillId="0" borderId="29" xfId="0" applyNumberFormat="1" applyFont="1" applyBorder="1" applyAlignment="1">
      <alignment horizontal="left" vertical="center" wrapText="1"/>
    </xf>
    <xf numFmtId="164" fontId="1" fillId="0" borderId="30" xfId="0" applyNumberFormat="1" applyFont="1" applyBorder="1" applyAlignment="1">
      <alignment horizontal="left" vertical="center" wrapText="1"/>
    </xf>
    <xf numFmtId="0" fontId="2" fillId="0" borderId="37" xfId="0" applyFont="1" applyBorder="1" applyAlignment="1">
      <alignment horizontal="right"/>
    </xf>
    <xf numFmtId="0" fontId="2" fillId="0" borderId="3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/>
    </xf>
    <xf numFmtId="165" fontId="1" fillId="0" borderId="39" xfId="0" applyNumberFormat="1" applyFont="1" applyBorder="1" applyAlignment="1">
      <alignment horizontal="left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wrapText="1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  <xf numFmtId="0" fontId="1" fillId="0" borderId="40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" fillId="0" borderId="4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40" xfId="0" applyFont="1" applyFill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center" vertical="center" textRotation="90" wrapText="1"/>
    </xf>
    <xf numFmtId="0" fontId="1" fillId="0" borderId="33" xfId="0" applyFont="1" applyFill="1" applyBorder="1" applyAlignment="1">
      <alignment horizontal="center" vertical="center" textRotation="90" wrapText="1"/>
    </xf>
    <xf numFmtId="0" fontId="1" fillId="0" borderId="21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2" fillId="0" borderId="51" xfId="3" applyFont="1" applyBorder="1" applyAlignment="1">
      <alignment horizontal="right" wrapText="1"/>
    </xf>
    <xf numFmtId="0" fontId="2" fillId="0" borderId="52" xfId="3" applyFont="1" applyBorder="1" applyAlignment="1">
      <alignment horizontal="right" wrapText="1"/>
    </xf>
    <xf numFmtId="0" fontId="2" fillId="0" borderId="50" xfId="3" applyFont="1" applyBorder="1" applyAlignment="1">
      <alignment horizontal="right" wrapText="1"/>
    </xf>
  </cellXfs>
  <cellStyles count="6">
    <cellStyle name="Excel Built-in Normal" xfId="4" xr:uid="{00000000-0005-0000-0000-000000000000}"/>
    <cellStyle name="Normal" xfId="0" builtinId="0"/>
    <cellStyle name="Normal 2" xfId="2" xr:uid="{00000000-0005-0000-0000-000002000000}"/>
    <cellStyle name="Обычный_33. OZOLNIEKU NOVADA DOME_OZO SKOLA_TELPU, GAITENU, KAPNU TELPU REMONTS_TAME_VADIMS_2011_02_25_melnraksts" xfId="1" xr:uid="{00000000-0005-0000-0000-000003000000}"/>
    <cellStyle name="Обычный_33. OZOLNIEKU NOVADA DOME_OZO SKOLA_TELPU, GAITENU, KAPNU TELPU REMONTS_TAME_VADIMS_2011_02_25_melnraksts_09. ELITE BRAIN_ZIKI_KUTS BUVNIECIBA_TAME_2013_08_01+EL labots" xfId="5" xr:uid="{00000000-0005-0000-0000-000004000000}"/>
    <cellStyle name="Обычный_saulkrasti_tame" xfId="3" xr:uid="{00000000-0005-0000-0000-000005000000}"/>
  </cellStyles>
  <dxfs count="370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H36"/>
  <sheetViews>
    <sheetView workbookViewId="0">
      <selection activeCell="B16" sqref="B16"/>
    </sheetView>
  </sheetViews>
  <sheetFormatPr defaultRowHeight="10.199999999999999" x14ac:dyDescent="0.2"/>
  <cols>
    <col min="1" max="1" width="16.88671875" style="1" customWidth="1"/>
    <col min="2" max="2" width="43.44140625" style="1" customWidth="1"/>
    <col min="3" max="3" width="22.44140625" style="1" customWidth="1"/>
    <col min="4" max="210" width="9.109375" style="1"/>
    <col min="211" max="211" width="1.44140625" style="1" customWidth="1"/>
    <col min="212" max="212" width="2.109375" style="1" customWidth="1"/>
    <col min="213" max="213" width="16.88671875" style="1" customWidth="1"/>
    <col min="214" max="214" width="43.44140625" style="1" customWidth="1"/>
    <col min="215" max="215" width="22.44140625" style="1" customWidth="1"/>
    <col min="216" max="216" width="9.109375" style="1"/>
    <col min="217" max="217" width="13.88671875" style="1" bestFit="1" customWidth="1"/>
    <col min="218" max="466" width="9.109375" style="1"/>
    <col min="467" max="467" width="1.44140625" style="1" customWidth="1"/>
    <col min="468" max="468" width="2.109375" style="1" customWidth="1"/>
    <col min="469" max="469" width="16.88671875" style="1" customWidth="1"/>
    <col min="470" max="470" width="43.44140625" style="1" customWidth="1"/>
    <col min="471" max="471" width="22.44140625" style="1" customWidth="1"/>
    <col min="472" max="472" width="9.109375" style="1"/>
    <col min="473" max="473" width="13.88671875" style="1" bestFit="1" customWidth="1"/>
    <col min="474" max="722" width="9.109375" style="1"/>
    <col min="723" max="723" width="1.44140625" style="1" customWidth="1"/>
    <col min="724" max="724" width="2.109375" style="1" customWidth="1"/>
    <col min="725" max="725" width="16.88671875" style="1" customWidth="1"/>
    <col min="726" max="726" width="43.44140625" style="1" customWidth="1"/>
    <col min="727" max="727" width="22.44140625" style="1" customWidth="1"/>
    <col min="728" max="728" width="9.109375" style="1"/>
    <col min="729" max="729" width="13.88671875" style="1" bestFit="1" customWidth="1"/>
    <col min="730" max="978" width="9.109375" style="1"/>
    <col min="979" max="979" width="1.44140625" style="1" customWidth="1"/>
    <col min="980" max="980" width="2.109375" style="1" customWidth="1"/>
    <col min="981" max="981" width="16.88671875" style="1" customWidth="1"/>
    <col min="982" max="982" width="43.44140625" style="1" customWidth="1"/>
    <col min="983" max="983" width="22.44140625" style="1" customWidth="1"/>
    <col min="984" max="984" width="9.109375" style="1"/>
    <col min="985" max="985" width="13.88671875" style="1" bestFit="1" customWidth="1"/>
    <col min="986" max="1234" width="9.109375" style="1"/>
    <col min="1235" max="1235" width="1.44140625" style="1" customWidth="1"/>
    <col min="1236" max="1236" width="2.109375" style="1" customWidth="1"/>
    <col min="1237" max="1237" width="16.88671875" style="1" customWidth="1"/>
    <col min="1238" max="1238" width="43.44140625" style="1" customWidth="1"/>
    <col min="1239" max="1239" width="22.44140625" style="1" customWidth="1"/>
    <col min="1240" max="1240" width="9.109375" style="1"/>
    <col min="1241" max="1241" width="13.88671875" style="1" bestFit="1" customWidth="1"/>
    <col min="1242" max="1490" width="9.109375" style="1"/>
    <col min="1491" max="1491" width="1.44140625" style="1" customWidth="1"/>
    <col min="1492" max="1492" width="2.109375" style="1" customWidth="1"/>
    <col min="1493" max="1493" width="16.88671875" style="1" customWidth="1"/>
    <col min="1494" max="1494" width="43.44140625" style="1" customWidth="1"/>
    <col min="1495" max="1495" width="22.44140625" style="1" customWidth="1"/>
    <col min="1496" max="1496" width="9.109375" style="1"/>
    <col min="1497" max="1497" width="13.88671875" style="1" bestFit="1" customWidth="1"/>
    <col min="1498" max="1746" width="9.109375" style="1"/>
    <col min="1747" max="1747" width="1.44140625" style="1" customWidth="1"/>
    <col min="1748" max="1748" width="2.109375" style="1" customWidth="1"/>
    <col min="1749" max="1749" width="16.88671875" style="1" customWidth="1"/>
    <col min="1750" max="1750" width="43.44140625" style="1" customWidth="1"/>
    <col min="1751" max="1751" width="22.44140625" style="1" customWidth="1"/>
    <col min="1752" max="1752" width="9.109375" style="1"/>
    <col min="1753" max="1753" width="13.88671875" style="1" bestFit="1" customWidth="1"/>
    <col min="1754" max="2002" width="9.109375" style="1"/>
    <col min="2003" max="2003" width="1.44140625" style="1" customWidth="1"/>
    <col min="2004" max="2004" width="2.109375" style="1" customWidth="1"/>
    <col min="2005" max="2005" width="16.88671875" style="1" customWidth="1"/>
    <col min="2006" max="2006" width="43.44140625" style="1" customWidth="1"/>
    <col min="2007" max="2007" width="22.44140625" style="1" customWidth="1"/>
    <col min="2008" max="2008" width="9.109375" style="1"/>
    <col min="2009" max="2009" width="13.88671875" style="1" bestFit="1" customWidth="1"/>
    <col min="2010" max="2258" width="9.109375" style="1"/>
    <col min="2259" max="2259" width="1.44140625" style="1" customWidth="1"/>
    <col min="2260" max="2260" width="2.109375" style="1" customWidth="1"/>
    <col min="2261" max="2261" width="16.88671875" style="1" customWidth="1"/>
    <col min="2262" max="2262" width="43.44140625" style="1" customWidth="1"/>
    <col min="2263" max="2263" width="22.44140625" style="1" customWidth="1"/>
    <col min="2264" max="2264" width="9.109375" style="1"/>
    <col min="2265" max="2265" width="13.88671875" style="1" bestFit="1" customWidth="1"/>
    <col min="2266" max="2514" width="9.109375" style="1"/>
    <col min="2515" max="2515" width="1.44140625" style="1" customWidth="1"/>
    <col min="2516" max="2516" width="2.109375" style="1" customWidth="1"/>
    <col min="2517" max="2517" width="16.88671875" style="1" customWidth="1"/>
    <col min="2518" max="2518" width="43.44140625" style="1" customWidth="1"/>
    <col min="2519" max="2519" width="22.44140625" style="1" customWidth="1"/>
    <col min="2520" max="2520" width="9.109375" style="1"/>
    <col min="2521" max="2521" width="13.88671875" style="1" bestFit="1" customWidth="1"/>
    <col min="2522" max="2770" width="9.109375" style="1"/>
    <col min="2771" max="2771" width="1.44140625" style="1" customWidth="1"/>
    <col min="2772" max="2772" width="2.109375" style="1" customWidth="1"/>
    <col min="2773" max="2773" width="16.88671875" style="1" customWidth="1"/>
    <col min="2774" max="2774" width="43.44140625" style="1" customWidth="1"/>
    <col min="2775" max="2775" width="22.44140625" style="1" customWidth="1"/>
    <col min="2776" max="2776" width="9.109375" style="1"/>
    <col min="2777" max="2777" width="13.88671875" style="1" bestFit="1" customWidth="1"/>
    <col min="2778" max="3026" width="9.109375" style="1"/>
    <col min="3027" max="3027" width="1.44140625" style="1" customWidth="1"/>
    <col min="3028" max="3028" width="2.109375" style="1" customWidth="1"/>
    <col min="3029" max="3029" width="16.88671875" style="1" customWidth="1"/>
    <col min="3030" max="3030" width="43.44140625" style="1" customWidth="1"/>
    <col min="3031" max="3031" width="22.44140625" style="1" customWidth="1"/>
    <col min="3032" max="3032" width="9.109375" style="1"/>
    <col min="3033" max="3033" width="13.88671875" style="1" bestFit="1" customWidth="1"/>
    <col min="3034" max="3282" width="9.109375" style="1"/>
    <col min="3283" max="3283" width="1.44140625" style="1" customWidth="1"/>
    <col min="3284" max="3284" width="2.109375" style="1" customWidth="1"/>
    <col min="3285" max="3285" width="16.88671875" style="1" customWidth="1"/>
    <col min="3286" max="3286" width="43.44140625" style="1" customWidth="1"/>
    <col min="3287" max="3287" width="22.44140625" style="1" customWidth="1"/>
    <col min="3288" max="3288" width="9.109375" style="1"/>
    <col min="3289" max="3289" width="13.88671875" style="1" bestFit="1" customWidth="1"/>
    <col min="3290" max="3538" width="9.109375" style="1"/>
    <col min="3539" max="3539" width="1.44140625" style="1" customWidth="1"/>
    <col min="3540" max="3540" width="2.109375" style="1" customWidth="1"/>
    <col min="3541" max="3541" width="16.88671875" style="1" customWidth="1"/>
    <col min="3542" max="3542" width="43.44140625" style="1" customWidth="1"/>
    <col min="3543" max="3543" width="22.44140625" style="1" customWidth="1"/>
    <col min="3544" max="3544" width="9.109375" style="1"/>
    <col min="3545" max="3545" width="13.88671875" style="1" bestFit="1" customWidth="1"/>
    <col min="3546" max="3794" width="9.109375" style="1"/>
    <col min="3795" max="3795" width="1.44140625" style="1" customWidth="1"/>
    <col min="3796" max="3796" width="2.109375" style="1" customWidth="1"/>
    <col min="3797" max="3797" width="16.88671875" style="1" customWidth="1"/>
    <col min="3798" max="3798" width="43.44140625" style="1" customWidth="1"/>
    <col min="3799" max="3799" width="22.44140625" style="1" customWidth="1"/>
    <col min="3800" max="3800" width="9.109375" style="1"/>
    <col min="3801" max="3801" width="13.88671875" style="1" bestFit="1" customWidth="1"/>
    <col min="3802" max="4050" width="9.109375" style="1"/>
    <col min="4051" max="4051" width="1.44140625" style="1" customWidth="1"/>
    <col min="4052" max="4052" width="2.109375" style="1" customWidth="1"/>
    <col min="4053" max="4053" width="16.88671875" style="1" customWidth="1"/>
    <col min="4054" max="4054" width="43.44140625" style="1" customWidth="1"/>
    <col min="4055" max="4055" width="22.44140625" style="1" customWidth="1"/>
    <col min="4056" max="4056" width="9.109375" style="1"/>
    <col min="4057" max="4057" width="13.88671875" style="1" bestFit="1" customWidth="1"/>
    <col min="4058" max="4306" width="9.109375" style="1"/>
    <col min="4307" max="4307" width="1.44140625" style="1" customWidth="1"/>
    <col min="4308" max="4308" width="2.109375" style="1" customWidth="1"/>
    <col min="4309" max="4309" width="16.88671875" style="1" customWidth="1"/>
    <col min="4310" max="4310" width="43.44140625" style="1" customWidth="1"/>
    <col min="4311" max="4311" width="22.44140625" style="1" customWidth="1"/>
    <col min="4312" max="4312" width="9.109375" style="1"/>
    <col min="4313" max="4313" width="13.88671875" style="1" bestFit="1" customWidth="1"/>
    <col min="4314" max="4562" width="9.109375" style="1"/>
    <col min="4563" max="4563" width="1.44140625" style="1" customWidth="1"/>
    <col min="4564" max="4564" width="2.109375" style="1" customWidth="1"/>
    <col min="4565" max="4565" width="16.88671875" style="1" customWidth="1"/>
    <col min="4566" max="4566" width="43.44140625" style="1" customWidth="1"/>
    <col min="4567" max="4567" width="22.44140625" style="1" customWidth="1"/>
    <col min="4568" max="4568" width="9.109375" style="1"/>
    <col min="4569" max="4569" width="13.88671875" style="1" bestFit="1" customWidth="1"/>
    <col min="4570" max="4818" width="9.109375" style="1"/>
    <col min="4819" max="4819" width="1.44140625" style="1" customWidth="1"/>
    <col min="4820" max="4820" width="2.109375" style="1" customWidth="1"/>
    <col min="4821" max="4821" width="16.88671875" style="1" customWidth="1"/>
    <col min="4822" max="4822" width="43.44140625" style="1" customWidth="1"/>
    <col min="4823" max="4823" width="22.44140625" style="1" customWidth="1"/>
    <col min="4824" max="4824" width="9.109375" style="1"/>
    <col min="4825" max="4825" width="13.88671875" style="1" bestFit="1" customWidth="1"/>
    <col min="4826" max="5074" width="9.109375" style="1"/>
    <col min="5075" max="5075" width="1.44140625" style="1" customWidth="1"/>
    <col min="5076" max="5076" width="2.109375" style="1" customWidth="1"/>
    <col min="5077" max="5077" width="16.88671875" style="1" customWidth="1"/>
    <col min="5078" max="5078" width="43.44140625" style="1" customWidth="1"/>
    <col min="5079" max="5079" width="22.44140625" style="1" customWidth="1"/>
    <col min="5080" max="5080" width="9.109375" style="1"/>
    <col min="5081" max="5081" width="13.88671875" style="1" bestFit="1" customWidth="1"/>
    <col min="5082" max="5330" width="9.109375" style="1"/>
    <col min="5331" max="5331" width="1.44140625" style="1" customWidth="1"/>
    <col min="5332" max="5332" width="2.109375" style="1" customWidth="1"/>
    <col min="5333" max="5333" width="16.88671875" style="1" customWidth="1"/>
    <col min="5334" max="5334" width="43.44140625" style="1" customWidth="1"/>
    <col min="5335" max="5335" width="22.44140625" style="1" customWidth="1"/>
    <col min="5336" max="5336" width="9.109375" style="1"/>
    <col min="5337" max="5337" width="13.88671875" style="1" bestFit="1" customWidth="1"/>
    <col min="5338" max="5586" width="9.109375" style="1"/>
    <col min="5587" max="5587" width="1.44140625" style="1" customWidth="1"/>
    <col min="5588" max="5588" width="2.109375" style="1" customWidth="1"/>
    <col min="5589" max="5589" width="16.88671875" style="1" customWidth="1"/>
    <col min="5590" max="5590" width="43.44140625" style="1" customWidth="1"/>
    <col min="5591" max="5591" width="22.44140625" style="1" customWidth="1"/>
    <col min="5592" max="5592" width="9.109375" style="1"/>
    <col min="5593" max="5593" width="13.88671875" style="1" bestFit="1" customWidth="1"/>
    <col min="5594" max="5842" width="9.109375" style="1"/>
    <col min="5843" max="5843" width="1.44140625" style="1" customWidth="1"/>
    <col min="5844" max="5844" width="2.109375" style="1" customWidth="1"/>
    <col min="5845" max="5845" width="16.88671875" style="1" customWidth="1"/>
    <col min="5846" max="5846" width="43.44140625" style="1" customWidth="1"/>
    <col min="5847" max="5847" width="22.44140625" style="1" customWidth="1"/>
    <col min="5848" max="5848" width="9.109375" style="1"/>
    <col min="5849" max="5849" width="13.88671875" style="1" bestFit="1" customWidth="1"/>
    <col min="5850" max="6098" width="9.109375" style="1"/>
    <col min="6099" max="6099" width="1.44140625" style="1" customWidth="1"/>
    <col min="6100" max="6100" width="2.109375" style="1" customWidth="1"/>
    <col min="6101" max="6101" width="16.88671875" style="1" customWidth="1"/>
    <col min="6102" max="6102" width="43.44140625" style="1" customWidth="1"/>
    <col min="6103" max="6103" width="22.44140625" style="1" customWidth="1"/>
    <col min="6104" max="6104" width="9.109375" style="1"/>
    <col min="6105" max="6105" width="13.88671875" style="1" bestFit="1" customWidth="1"/>
    <col min="6106" max="6354" width="9.109375" style="1"/>
    <col min="6355" max="6355" width="1.44140625" style="1" customWidth="1"/>
    <col min="6356" max="6356" width="2.109375" style="1" customWidth="1"/>
    <col min="6357" max="6357" width="16.88671875" style="1" customWidth="1"/>
    <col min="6358" max="6358" width="43.44140625" style="1" customWidth="1"/>
    <col min="6359" max="6359" width="22.44140625" style="1" customWidth="1"/>
    <col min="6360" max="6360" width="9.109375" style="1"/>
    <col min="6361" max="6361" width="13.88671875" style="1" bestFit="1" customWidth="1"/>
    <col min="6362" max="6610" width="9.109375" style="1"/>
    <col min="6611" max="6611" width="1.44140625" style="1" customWidth="1"/>
    <col min="6612" max="6612" width="2.109375" style="1" customWidth="1"/>
    <col min="6613" max="6613" width="16.88671875" style="1" customWidth="1"/>
    <col min="6614" max="6614" width="43.44140625" style="1" customWidth="1"/>
    <col min="6615" max="6615" width="22.44140625" style="1" customWidth="1"/>
    <col min="6616" max="6616" width="9.109375" style="1"/>
    <col min="6617" max="6617" width="13.88671875" style="1" bestFit="1" customWidth="1"/>
    <col min="6618" max="6866" width="9.109375" style="1"/>
    <col min="6867" max="6867" width="1.44140625" style="1" customWidth="1"/>
    <col min="6868" max="6868" width="2.109375" style="1" customWidth="1"/>
    <col min="6869" max="6869" width="16.88671875" style="1" customWidth="1"/>
    <col min="6870" max="6870" width="43.44140625" style="1" customWidth="1"/>
    <col min="6871" max="6871" width="22.44140625" style="1" customWidth="1"/>
    <col min="6872" max="6872" width="9.109375" style="1"/>
    <col min="6873" max="6873" width="13.88671875" style="1" bestFit="1" customWidth="1"/>
    <col min="6874" max="7122" width="9.109375" style="1"/>
    <col min="7123" max="7123" width="1.44140625" style="1" customWidth="1"/>
    <col min="7124" max="7124" width="2.109375" style="1" customWidth="1"/>
    <col min="7125" max="7125" width="16.88671875" style="1" customWidth="1"/>
    <col min="7126" max="7126" width="43.44140625" style="1" customWidth="1"/>
    <col min="7127" max="7127" width="22.44140625" style="1" customWidth="1"/>
    <col min="7128" max="7128" width="9.109375" style="1"/>
    <col min="7129" max="7129" width="13.88671875" style="1" bestFit="1" customWidth="1"/>
    <col min="7130" max="7378" width="9.109375" style="1"/>
    <col min="7379" max="7379" width="1.44140625" style="1" customWidth="1"/>
    <col min="7380" max="7380" width="2.109375" style="1" customWidth="1"/>
    <col min="7381" max="7381" width="16.88671875" style="1" customWidth="1"/>
    <col min="7382" max="7382" width="43.44140625" style="1" customWidth="1"/>
    <col min="7383" max="7383" width="22.44140625" style="1" customWidth="1"/>
    <col min="7384" max="7384" width="9.109375" style="1"/>
    <col min="7385" max="7385" width="13.88671875" style="1" bestFit="1" customWidth="1"/>
    <col min="7386" max="7634" width="9.109375" style="1"/>
    <col min="7635" max="7635" width="1.44140625" style="1" customWidth="1"/>
    <col min="7636" max="7636" width="2.109375" style="1" customWidth="1"/>
    <col min="7637" max="7637" width="16.88671875" style="1" customWidth="1"/>
    <col min="7638" max="7638" width="43.44140625" style="1" customWidth="1"/>
    <col min="7639" max="7639" width="22.44140625" style="1" customWidth="1"/>
    <col min="7640" max="7640" width="9.109375" style="1"/>
    <col min="7641" max="7641" width="13.88671875" style="1" bestFit="1" customWidth="1"/>
    <col min="7642" max="7890" width="9.109375" style="1"/>
    <col min="7891" max="7891" width="1.44140625" style="1" customWidth="1"/>
    <col min="7892" max="7892" width="2.109375" style="1" customWidth="1"/>
    <col min="7893" max="7893" width="16.88671875" style="1" customWidth="1"/>
    <col min="7894" max="7894" width="43.44140625" style="1" customWidth="1"/>
    <col min="7895" max="7895" width="22.44140625" style="1" customWidth="1"/>
    <col min="7896" max="7896" width="9.109375" style="1"/>
    <col min="7897" max="7897" width="13.88671875" style="1" bestFit="1" customWidth="1"/>
    <col min="7898" max="8146" width="9.109375" style="1"/>
    <col min="8147" max="8147" width="1.44140625" style="1" customWidth="1"/>
    <col min="8148" max="8148" width="2.109375" style="1" customWidth="1"/>
    <col min="8149" max="8149" width="16.88671875" style="1" customWidth="1"/>
    <col min="8150" max="8150" width="43.44140625" style="1" customWidth="1"/>
    <col min="8151" max="8151" width="22.44140625" style="1" customWidth="1"/>
    <col min="8152" max="8152" width="9.109375" style="1"/>
    <col min="8153" max="8153" width="13.88671875" style="1" bestFit="1" customWidth="1"/>
    <col min="8154" max="8402" width="9.109375" style="1"/>
    <col min="8403" max="8403" width="1.44140625" style="1" customWidth="1"/>
    <col min="8404" max="8404" width="2.109375" style="1" customWidth="1"/>
    <col min="8405" max="8405" width="16.88671875" style="1" customWidth="1"/>
    <col min="8406" max="8406" width="43.44140625" style="1" customWidth="1"/>
    <col min="8407" max="8407" width="22.44140625" style="1" customWidth="1"/>
    <col min="8408" max="8408" width="9.109375" style="1"/>
    <col min="8409" max="8409" width="13.88671875" style="1" bestFit="1" customWidth="1"/>
    <col min="8410" max="8658" width="9.109375" style="1"/>
    <col min="8659" max="8659" width="1.44140625" style="1" customWidth="1"/>
    <col min="8660" max="8660" width="2.109375" style="1" customWidth="1"/>
    <col min="8661" max="8661" width="16.88671875" style="1" customWidth="1"/>
    <col min="8662" max="8662" width="43.44140625" style="1" customWidth="1"/>
    <col min="8663" max="8663" width="22.44140625" style="1" customWidth="1"/>
    <col min="8664" max="8664" width="9.109375" style="1"/>
    <col min="8665" max="8665" width="13.88671875" style="1" bestFit="1" customWidth="1"/>
    <col min="8666" max="8914" width="9.109375" style="1"/>
    <col min="8915" max="8915" width="1.44140625" style="1" customWidth="1"/>
    <col min="8916" max="8916" width="2.109375" style="1" customWidth="1"/>
    <col min="8917" max="8917" width="16.88671875" style="1" customWidth="1"/>
    <col min="8918" max="8918" width="43.44140625" style="1" customWidth="1"/>
    <col min="8919" max="8919" width="22.44140625" style="1" customWidth="1"/>
    <col min="8920" max="8920" width="9.109375" style="1"/>
    <col min="8921" max="8921" width="13.88671875" style="1" bestFit="1" customWidth="1"/>
    <col min="8922" max="9170" width="9.109375" style="1"/>
    <col min="9171" max="9171" width="1.44140625" style="1" customWidth="1"/>
    <col min="9172" max="9172" width="2.109375" style="1" customWidth="1"/>
    <col min="9173" max="9173" width="16.88671875" style="1" customWidth="1"/>
    <col min="9174" max="9174" width="43.44140625" style="1" customWidth="1"/>
    <col min="9175" max="9175" width="22.44140625" style="1" customWidth="1"/>
    <col min="9176" max="9176" width="9.109375" style="1"/>
    <col min="9177" max="9177" width="13.88671875" style="1" bestFit="1" customWidth="1"/>
    <col min="9178" max="9426" width="9.109375" style="1"/>
    <col min="9427" max="9427" width="1.44140625" style="1" customWidth="1"/>
    <col min="9428" max="9428" width="2.109375" style="1" customWidth="1"/>
    <col min="9429" max="9429" width="16.88671875" style="1" customWidth="1"/>
    <col min="9430" max="9430" width="43.44140625" style="1" customWidth="1"/>
    <col min="9431" max="9431" width="22.44140625" style="1" customWidth="1"/>
    <col min="9432" max="9432" width="9.109375" style="1"/>
    <col min="9433" max="9433" width="13.88671875" style="1" bestFit="1" customWidth="1"/>
    <col min="9434" max="9682" width="9.109375" style="1"/>
    <col min="9683" max="9683" width="1.44140625" style="1" customWidth="1"/>
    <col min="9684" max="9684" width="2.109375" style="1" customWidth="1"/>
    <col min="9685" max="9685" width="16.88671875" style="1" customWidth="1"/>
    <col min="9686" max="9686" width="43.44140625" style="1" customWidth="1"/>
    <col min="9687" max="9687" width="22.44140625" style="1" customWidth="1"/>
    <col min="9688" max="9688" width="9.109375" style="1"/>
    <col min="9689" max="9689" width="13.88671875" style="1" bestFit="1" customWidth="1"/>
    <col min="9690" max="9938" width="9.109375" style="1"/>
    <col min="9939" max="9939" width="1.44140625" style="1" customWidth="1"/>
    <col min="9940" max="9940" width="2.109375" style="1" customWidth="1"/>
    <col min="9941" max="9941" width="16.88671875" style="1" customWidth="1"/>
    <col min="9942" max="9942" width="43.44140625" style="1" customWidth="1"/>
    <col min="9943" max="9943" width="22.44140625" style="1" customWidth="1"/>
    <col min="9944" max="9944" width="9.109375" style="1"/>
    <col min="9945" max="9945" width="13.88671875" style="1" bestFit="1" customWidth="1"/>
    <col min="9946" max="10194" width="9.109375" style="1"/>
    <col min="10195" max="10195" width="1.44140625" style="1" customWidth="1"/>
    <col min="10196" max="10196" width="2.109375" style="1" customWidth="1"/>
    <col min="10197" max="10197" width="16.88671875" style="1" customWidth="1"/>
    <col min="10198" max="10198" width="43.44140625" style="1" customWidth="1"/>
    <col min="10199" max="10199" width="22.44140625" style="1" customWidth="1"/>
    <col min="10200" max="10200" width="9.109375" style="1"/>
    <col min="10201" max="10201" width="13.88671875" style="1" bestFit="1" customWidth="1"/>
    <col min="10202" max="10450" width="9.109375" style="1"/>
    <col min="10451" max="10451" width="1.44140625" style="1" customWidth="1"/>
    <col min="10452" max="10452" width="2.109375" style="1" customWidth="1"/>
    <col min="10453" max="10453" width="16.88671875" style="1" customWidth="1"/>
    <col min="10454" max="10454" width="43.44140625" style="1" customWidth="1"/>
    <col min="10455" max="10455" width="22.44140625" style="1" customWidth="1"/>
    <col min="10456" max="10456" width="9.109375" style="1"/>
    <col min="10457" max="10457" width="13.88671875" style="1" bestFit="1" customWidth="1"/>
    <col min="10458" max="10706" width="9.109375" style="1"/>
    <col min="10707" max="10707" width="1.44140625" style="1" customWidth="1"/>
    <col min="10708" max="10708" width="2.109375" style="1" customWidth="1"/>
    <col min="10709" max="10709" width="16.88671875" style="1" customWidth="1"/>
    <col min="10710" max="10710" width="43.44140625" style="1" customWidth="1"/>
    <col min="10711" max="10711" width="22.44140625" style="1" customWidth="1"/>
    <col min="10712" max="10712" width="9.109375" style="1"/>
    <col min="10713" max="10713" width="13.88671875" style="1" bestFit="1" customWidth="1"/>
    <col min="10714" max="10962" width="9.109375" style="1"/>
    <col min="10963" max="10963" width="1.44140625" style="1" customWidth="1"/>
    <col min="10964" max="10964" width="2.109375" style="1" customWidth="1"/>
    <col min="10965" max="10965" width="16.88671875" style="1" customWidth="1"/>
    <col min="10966" max="10966" width="43.44140625" style="1" customWidth="1"/>
    <col min="10967" max="10967" width="22.44140625" style="1" customWidth="1"/>
    <col min="10968" max="10968" width="9.109375" style="1"/>
    <col min="10969" max="10969" width="13.88671875" style="1" bestFit="1" customWidth="1"/>
    <col min="10970" max="11218" width="9.109375" style="1"/>
    <col min="11219" max="11219" width="1.44140625" style="1" customWidth="1"/>
    <col min="11220" max="11220" width="2.109375" style="1" customWidth="1"/>
    <col min="11221" max="11221" width="16.88671875" style="1" customWidth="1"/>
    <col min="11222" max="11222" width="43.44140625" style="1" customWidth="1"/>
    <col min="11223" max="11223" width="22.44140625" style="1" customWidth="1"/>
    <col min="11224" max="11224" width="9.109375" style="1"/>
    <col min="11225" max="11225" width="13.88671875" style="1" bestFit="1" customWidth="1"/>
    <col min="11226" max="11474" width="9.109375" style="1"/>
    <col min="11475" max="11475" width="1.44140625" style="1" customWidth="1"/>
    <col min="11476" max="11476" width="2.109375" style="1" customWidth="1"/>
    <col min="11477" max="11477" width="16.88671875" style="1" customWidth="1"/>
    <col min="11478" max="11478" width="43.44140625" style="1" customWidth="1"/>
    <col min="11479" max="11479" width="22.44140625" style="1" customWidth="1"/>
    <col min="11480" max="11480" width="9.109375" style="1"/>
    <col min="11481" max="11481" width="13.88671875" style="1" bestFit="1" customWidth="1"/>
    <col min="11482" max="11730" width="9.109375" style="1"/>
    <col min="11731" max="11731" width="1.44140625" style="1" customWidth="1"/>
    <col min="11732" max="11732" width="2.109375" style="1" customWidth="1"/>
    <col min="11733" max="11733" width="16.88671875" style="1" customWidth="1"/>
    <col min="11734" max="11734" width="43.44140625" style="1" customWidth="1"/>
    <col min="11735" max="11735" width="22.44140625" style="1" customWidth="1"/>
    <col min="11736" max="11736" width="9.109375" style="1"/>
    <col min="11737" max="11737" width="13.88671875" style="1" bestFit="1" customWidth="1"/>
    <col min="11738" max="11986" width="9.109375" style="1"/>
    <col min="11987" max="11987" width="1.44140625" style="1" customWidth="1"/>
    <col min="11988" max="11988" width="2.109375" style="1" customWidth="1"/>
    <col min="11989" max="11989" width="16.88671875" style="1" customWidth="1"/>
    <col min="11990" max="11990" width="43.44140625" style="1" customWidth="1"/>
    <col min="11991" max="11991" width="22.44140625" style="1" customWidth="1"/>
    <col min="11992" max="11992" width="9.109375" style="1"/>
    <col min="11993" max="11993" width="13.88671875" style="1" bestFit="1" customWidth="1"/>
    <col min="11994" max="12242" width="9.109375" style="1"/>
    <col min="12243" max="12243" width="1.44140625" style="1" customWidth="1"/>
    <col min="12244" max="12244" width="2.109375" style="1" customWidth="1"/>
    <col min="12245" max="12245" width="16.88671875" style="1" customWidth="1"/>
    <col min="12246" max="12246" width="43.44140625" style="1" customWidth="1"/>
    <col min="12247" max="12247" width="22.44140625" style="1" customWidth="1"/>
    <col min="12248" max="12248" width="9.109375" style="1"/>
    <col min="12249" max="12249" width="13.88671875" style="1" bestFit="1" customWidth="1"/>
    <col min="12250" max="12498" width="9.109375" style="1"/>
    <col min="12499" max="12499" width="1.44140625" style="1" customWidth="1"/>
    <col min="12500" max="12500" width="2.109375" style="1" customWidth="1"/>
    <col min="12501" max="12501" width="16.88671875" style="1" customWidth="1"/>
    <col min="12502" max="12502" width="43.44140625" style="1" customWidth="1"/>
    <col min="12503" max="12503" width="22.44140625" style="1" customWidth="1"/>
    <col min="12504" max="12504" width="9.109375" style="1"/>
    <col min="12505" max="12505" width="13.88671875" style="1" bestFit="1" customWidth="1"/>
    <col min="12506" max="12754" width="9.109375" style="1"/>
    <col min="12755" max="12755" width="1.44140625" style="1" customWidth="1"/>
    <col min="12756" max="12756" width="2.109375" style="1" customWidth="1"/>
    <col min="12757" max="12757" width="16.88671875" style="1" customWidth="1"/>
    <col min="12758" max="12758" width="43.44140625" style="1" customWidth="1"/>
    <col min="12759" max="12759" width="22.44140625" style="1" customWidth="1"/>
    <col min="12760" max="12760" width="9.109375" style="1"/>
    <col min="12761" max="12761" width="13.88671875" style="1" bestFit="1" customWidth="1"/>
    <col min="12762" max="13010" width="9.109375" style="1"/>
    <col min="13011" max="13011" width="1.44140625" style="1" customWidth="1"/>
    <col min="13012" max="13012" width="2.109375" style="1" customWidth="1"/>
    <col min="13013" max="13013" width="16.88671875" style="1" customWidth="1"/>
    <col min="13014" max="13014" width="43.44140625" style="1" customWidth="1"/>
    <col min="13015" max="13015" width="22.44140625" style="1" customWidth="1"/>
    <col min="13016" max="13016" width="9.109375" style="1"/>
    <col min="13017" max="13017" width="13.88671875" style="1" bestFit="1" customWidth="1"/>
    <col min="13018" max="13266" width="9.109375" style="1"/>
    <col min="13267" max="13267" width="1.44140625" style="1" customWidth="1"/>
    <col min="13268" max="13268" width="2.109375" style="1" customWidth="1"/>
    <col min="13269" max="13269" width="16.88671875" style="1" customWidth="1"/>
    <col min="13270" max="13270" width="43.44140625" style="1" customWidth="1"/>
    <col min="13271" max="13271" width="22.44140625" style="1" customWidth="1"/>
    <col min="13272" max="13272" width="9.109375" style="1"/>
    <col min="13273" max="13273" width="13.88671875" style="1" bestFit="1" customWidth="1"/>
    <col min="13274" max="13522" width="9.109375" style="1"/>
    <col min="13523" max="13523" width="1.44140625" style="1" customWidth="1"/>
    <col min="13524" max="13524" width="2.109375" style="1" customWidth="1"/>
    <col min="13525" max="13525" width="16.88671875" style="1" customWidth="1"/>
    <col min="13526" max="13526" width="43.44140625" style="1" customWidth="1"/>
    <col min="13527" max="13527" width="22.44140625" style="1" customWidth="1"/>
    <col min="13528" max="13528" width="9.109375" style="1"/>
    <col min="13529" max="13529" width="13.88671875" style="1" bestFit="1" customWidth="1"/>
    <col min="13530" max="13778" width="9.109375" style="1"/>
    <col min="13779" max="13779" width="1.44140625" style="1" customWidth="1"/>
    <col min="13780" max="13780" width="2.109375" style="1" customWidth="1"/>
    <col min="13781" max="13781" width="16.88671875" style="1" customWidth="1"/>
    <col min="13782" max="13782" width="43.44140625" style="1" customWidth="1"/>
    <col min="13783" max="13783" width="22.44140625" style="1" customWidth="1"/>
    <col min="13784" max="13784" width="9.109375" style="1"/>
    <col min="13785" max="13785" width="13.88671875" style="1" bestFit="1" customWidth="1"/>
    <col min="13786" max="14034" width="9.109375" style="1"/>
    <col min="14035" max="14035" width="1.44140625" style="1" customWidth="1"/>
    <col min="14036" max="14036" width="2.109375" style="1" customWidth="1"/>
    <col min="14037" max="14037" width="16.88671875" style="1" customWidth="1"/>
    <col min="14038" max="14038" width="43.44140625" style="1" customWidth="1"/>
    <col min="14039" max="14039" width="22.44140625" style="1" customWidth="1"/>
    <col min="14040" max="14040" width="9.109375" style="1"/>
    <col min="14041" max="14041" width="13.88671875" style="1" bestFit="1" customWidth="1"/>
    <col min="14042" max="14290" width="9.109375" style="1"/>
    <col min="14291" max="14291" width="1.44140625" style="1" customWidth="1"/>
    <col min="14292" max="14292" width="2.109375" style="1" customWidth="1"/>
    <col min="14293" max="14293" width="16.88671875" style="1" customWidth="1"/>
    <col min="14294" max="14294" width="43.44140625" style="1" customWidth="1"/>
    <col min="14295" max="14295" width="22.44140625" style="1" customWidth="1"/>
    <col min="14296" max="14296" width="9.109375" style="1"/>
    <col min="14297" max="14297" width="13.88671875" style="1" bestFit="1" customWidth="1"/>
    <col min="14298" max="14546" width="9.109375" style="1"/>
    <col min="14547" max="14547" width="1.44140625" style="1" customWidth="1"/>
    <col min="14548" max="14548" width="2.109375" style="1" customWidth="1"/>
    <col min="14549" max="14549" width="16.88671875" style="1" customWidth="1"/>
    <col min="14550" max="14550" width="43.44140625" style="1" customWidth="1"/>
    <col min="14551" max="14551" width="22.44140625" style="1" customWidth="1"/>
    <col min="14552" max="14552" width="9.109375" style="1"/>
    <col min="14553" max="14553" width="13.88671875" style="1" bestFit="1" customWidth="1"/>
    <col min="14554" max="14802" width="9.109375" style="1"/>
    <col min="14803" max="14803" width="1.44140625" style="1" customWidth="1"/>
    <col min="14804" max="14804" width="2.109375" style="1" customWidth="1"/>
    <col min="14805" max="14805" width="16.88671875" style="1" customWidth="1"/>
    <col min="14806" max="14806" width="43.44140625" style="1" customWidth="1"/>
    <col min="14807" max="14807" width="22.44140625" style="1" customWidth="1"/>
    <col min="14808" max="14808" width="9.109375" style="1"/>
    <col min="14809" max="14809" width="13.88671875" style="1" bestFit="1" customWidth="1"/>
    <col min="14810" max="15058" width="9.109375" style="1"/>
    <col min="15059" max="15059" width="1.44140625" style="1" customWidth="1"/>
    <col min="15060" max="15060" width="2.109375" style="1" customWidth="1"/>
    <col min="15061" max="15061" width="16.88671875" style="1" customWidth="1"/>
    <col min="15062" max="15062" width="43.44140625" style="1" customWidth="1"/>
    <col min="15063" max="15063" width="22.44140625" style="1" customWidth="1"/>
    <col min="15064" max="15064" width="9.109375" style="1"/>
    <col min="15065" max="15065" width="13.88671875" style="1" bestFit="1" customWidth="1"/>
    <col min="15066" max="15314" width="9.109375" style="1"/>
    <col min="15315" max="15315" width="1.44140625" style="1" customWidth="1"/>
    <col min="15316" max="15316" width="2.109375" style="1" customWidth="1"/>
    <col min="15317" max="15317" width="16.88671875" style="1" customWidth="1"/>
    <col min="15318" max="15318" width="43.44140625" style="1" customWidth="1"/>
    <col min="15319" max="15319" width="22.44140625" style="1" customWidth="1"/>
    <col min="15320" max="15320" width="9.109375" style="1"/>
    <col min="15321" max="15321" width="13.88671875" style="1" bestFit="1" customWidth="1"/>
    <col min="15322" max="15570" width="9.109375" style="1"/>
    <col min="15571" max="15571" width="1.44140625" style="1" customWidth="1"/>
    <col min="15572" max="15572" width="2.109375" style="1" customWidth="1"/>
    <col min="15573" max="15573" width="16.88671875" style="1" customWidth="1"/>
    <col min="15574" max="15574" width="43.44140625" style="1" customWidth="1"/>
    <col min="15575" max="15575" width="22.44140625" style="1" customWidth="1"/>
    <col min="15576" max="15576" width="9.109375" style="1"/>
    <col min="15577" max="15577" width="13.88671875" style="1" bestFit="1" customWidth="1"/>
    <col min="15578" max="15826" width="9.109375" style="1"/>
    <col min="15827" max="15827" width="1.44140625" style="1" customWidth="1"/>
    <col min="15828" max="15828" width="2.109375" style="1" customWidth="1"/>
    <col min="15829" max="15829" width="16.88671875" style="1" customWidth="1"/>
    <col min="15830" max="15830" width="43.44140625" style="1" customWidth="1"/>
    <col min="15831" max="15831" width="22.44140625" style="1" customWidth="1"/>
    <col min="15832" max="15832" width="9.109375" style="1"/>
    <col min="15833" max="15833" width="13.88671875" style="1" bestFit="1" customWidth="1"/>
    <col min="15834" max="16082" width="9.109375" style="1"/>
    <col min="16083" max="16083" width="1.44140625" style="1" customWidth="1"/>
    <col min="16084" max="16084" width="2.109375" style="1" customWidth="1"/>
    <col min="16085" max="16085" width="16.88671875" style="1" customWidth="1"/>
    <col min="16086" max="16086" width="43.44140625" style="1" customWidth="1"/>
    <col min="16087" max="16087" width="22.44140625" style="1" customWidth="1"/>
    <col min="16088" max="16088" width="9.109375" style="1"/>
    <col min="16089" max="16089" width="13.88671875" style="1" bestFit="1" customWidth="1"/>
    <col min="16090" max="16384" width="9.10937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220" t="s">
        <v>1</v>
      </c>
      <c r="C4" s="220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221" t="s">
        <v>3</v>
      </c>
      <c r="C8" s="221"/>
    </row>
    <row r="11" spans="1:3" x14ac:dyDescent="0.2">
      <c r="B11" s="2" t="s">
        <v>4</v>
      </c>
    </row>
    <row r="12" spans="1:3" x14ac:dyDescent="0.2">
      <c r="B12" s="86" t="s">
        <v>52</v>
      </c>
    </row>
    <row r="13" spans="1:3" x14ac:dyDescent="0.2">
      <c r="A13" s="4" t="s">
        <v>5</v>
      </c>
      <c r="B13" s="79" t="s">
        <v>55</v>
      </c>
      <c r="C13" s="79"/>
    </row>
    <row r="14" spans="1:3" ht="20.399999999999999" x14ac:dyDescent="0.2">
      <c r="A14" s="4" t="s">
        <v>6</v>
      </c>
      <c r="B14" s="79" t="s">
        <v>56</v>
      </c>
      <c r="C14" s="79"/>
    </row>
    <row r="15" spans="1:3" x14ac:dyDescent="0.2">
      <c r="A15" s="27" t="s">
        <v>7</v>
      </c>
      <c r="B15" s="114" t="s">
        <v>156</v>
      </c>
      <c r="C15" s="78"/>
    </row>
    <row r="16" spans="1:3" x14ac:dyDescent="0.2">
      <c r="A16" s="4" t="s">
        <v>8</v>
      </c>
      <c r="B16" s="98"/>
      <c r="C16" s="77"/>
    </row>
    <row r="17" spans="1:3" ht="10.8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ht="20.399999999999999" x14ac:dyDescent="0.2">
      <c r="A19" s="81">
        <v>1</v>
      </c>
      <c r="B19" s="95" t="s">
        <v>57</v>
      </c>
      <c r="C19" s="9">
        <f>'Kops a'!E32</f>
        <v>0</v>
      </c>
    </row>
    <row r="20" spans="1:3" x14ac:dyDescent="0.2">
      <c r="A20" s="82"/>
      <c r="B20" s="83"/>
      <c r="C20" s="10"/>
    </row>
    <row r="21" spans="1:3" x14ac:dyDescent="0.2">
      <c r="A21" s="84"/>
      <c r="B21" s="8"/>
      <c r="C21" s="10"/>
    </row>
    <row r="22" spans="1:3" x14ac:dyDescent="0.2">
      <c r="A22" s="84"/>
      <c r="B22" s="8"/>
      <c r="C22" s="10"/>
    </row>
    <row r="23" spans="1:3" x14ac:dyDescent="0.2">
      <c r="A23" s="84"/>
      <c r="B23" s="8"/>
      <c r="C23" s="10"/>
    </row>
    <row r="24" spans="1:3" x14ac:dyDescent="0.2">
      <c r="A24" s="84"/>
      <c r="B24" s="8"/>
      <c r="C24" s="10"/>
    </row>
    <row r="25" spans="1:3" ht="10.8" thickBot="1" x14ac:dyDescent="0.25">
      <c r="A25" s="85"/>
      <c r="B25" s="52"/>
      <c r="C25" s="53"/>
    </row>
    <row r="26" spans="1:3" ht="10.8" thickBot="1" x14ac:dyDescent="0.25">
      <c r="A26" s="11"/>
      <c r="B26" s="12" t="s">
        <v>12</v>
      </c>
      <c r="C26" s="13">
        <f>SUM(C19:C25)</f>
        <v>0</v>
      </c>
    </row>
    <row r="27" spans="1:3" ht="10.8" thickBot="1" x14ac:dyDescent="0.25">
      <c r="B27" s="14"/>
      <c r="C27" s="15"/>
    </row>
    <row r="28" spans="1:3" ht="10.8" thickBot="1" x14ac:dyDescent="0.25">
      <c r="A28" s="222" t="s">
        <v>13</v>
      </c>
      <c r="B28" s="223"/>
      <c r="C28" s="16">
        <f>ROUND(C26*21%,2)</f>
        <v>0</v>
      </c>
    </row>
    <row r="31" spans="1:3" x14ac:dyDescent="0.2">
      <c r="A31" s="1" t="s">
        <v>14</v>
      </c>
      <c r="B31" s="224"/>
      <c r="C31" s="224"/>
    </row>
    <row r="32" spans="1:3" x14ac:dyDescent="0.2">
      <c r="B32" s="219" t="s">
        <v>15</v>
      </c>
      <c r="C32" s="219"/>
    </row>
    <row r="34" spans="1:8" x14ac:dyDescent="0.2">
      <c r="A34" s="1" t="s">
        <v>53</v>
      </c>
      <c r="B34" s="17"/>
      <c r="C34" s="17"/>
    </row>
    <row r="35" spans="1:8" x14ac:dyDescent="0.2">
      <c r="A35" s="17"/>
      <c r="B35" s="17"/>
      <c r="C35" s="17"/>
    </row>
    <row r="36" spans="1:8" x14ac:dyDescent="0.2">
      <c r="A36" s="1" t="s">
        <v>699</v>
      </c>
      <c r="H36" s="21"/>
    </row>
  </sheetData>
  <mergeCells count="5">
    <mergeCell ref="B32:C32"/>
    <mergeCell ref="B4:C4"/>
    <mergeCell ref="B8:C8"/>
    <mergeCell ref="A28:B28"/>
    <mergeCell ref="B31:C31"/>
  </mergeCells>
  <conditionalFormatting sqref="C19 C26 C28">
    <cfRule type="cellIs" dxfId="369" priority="9" operator="equal">
      <formula>0</formula>
    </cfRule>
  </conditionalFormatting>
  <conditionalFormatting sqref="B13:B16">
    <cfRule type="cellIs" dxfId="368" priority="8" operator="equal">
      <formula>0</formula>
    </cfRule>
  </conditionalFormatting>
  <conditionalFormatting sqref="B19">
    <cfRule type="cellIs" dxfId="367" priority="7" operator="equal">
      <formula>0</formula>
    </cfRule>
  </conditionalFormatting>
  <conditionalFormatting sqref="B34">
    <cfRule type="cellIs" dxfId="366" priority="5" operator="equal">
      <formula>0</formula>
    </cfRule>
  </conditionalFormatting>
  <conditionalFormatting sqref="B31:C31">
    <cfRule type="cellIs" dxfId="365" priority="3" operator="equal">
      <formula>0</formula>
    </cfRule>
  </conditionalFormatting>
  <conditionalFormatting sqref="A19">
    <cfRule type="cellIs" dxfId="364" priority="2" operator="equal">
      <formula>0</formula>
    </cfRule>
  </conditionalFormatting>
  <conditionalFormatting sqref="A36">
    <cfRule type="containsText" dxfId="363" priority="1" operator="containsText" text="Tāme sastādīta 20__. gada __. _________">
      <formula>NOT(ISERROR(SEARCH("Tāme sastādīta 20__. gada __. _________",A36)))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P332"/>
  <sheetViews>
    <sheetView topLeftCell="A154" workbookViewId="0">
      <selection activeCell="J324" sqref="J324"/>
    </sheetView>
  </sheetViews>
  <sheetFormatPr defaultColWidth="9.109375" defaultRowHeight="10.199999999999999" x14ac:dyDescent="0.2"/>
  <cols>
    <col min="1" max="1" width="4.5546875" style="1" customWidth="1"/>
    <col min="2" max="2" width="9.44140625" style="148" bestFit="1" customWidth="1"/>
    <col min="3" max="3" width="38.44140625" style="148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11"/>
      <c r="C1" s="212" t="s">
        <v>38</v>
      </c>
      <c r="D1" s="51">
        <f>'Kops a'!A22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13"/>
      <c r="C2" s="267" t="s">
        <v>693</v>
      </c>
      <c r="D2" s="267"/>
      <c r="E2" s="267"/>
      <c r="F2" s="267"/>
      <c r="G2" s="267"/>
      <c r="H2" s="267"/>
      <c r="I2" s="267"/>
      <c r="J2" s="29"/>
    </row>
    <row r="3" spans="1:16" x14ac:dyDescent="0.2">
      <c r="A3" s="30"/>
      <c r="B3" s="214"/>
      <c r="C3" s="228" t="s">
        <v>17</v>
      </c>
      <c r="D3" s="228"/>
      <c r="E3" s="228"/>
      <c r="F3" s="228"/>
      <c r="G3" s="228"/>
      <c r="H3" s="228"/>
      <c r="I3" s="228"/>
      <c r="J3" s="30"/>
    </row>
    <row r="4" spans="1:16" x14ac:dyDescent="0.2">
      <c r="A4" s="30"/>
      <c r="B4" s="214"/>
      <c r="C4" s="268" t="s">
        <v>52</v>
      </c>
      <c r="D4" s="268"/>
      <c r="E4" s="268"/>
      <c r="F4" s="268"/>
      <c r="G4" s="268"/>
      <c r="H4" s="268"/>
      <c r="I4" s="268"/>
      <c r="J4" s="30"/>
    </row>
    <row r="5" spans="1:16" x14ac:dyDescent="0.2">
      <c r="A5" s="23"/>
      <c r="B5" s="211"/>
      <c r="C5" s="212" t="s">
        <v>5</v>
      </c>
      <c r="D5" s="281" t="str">
        <f>'Kops a'!D6</f>
        <v>DAUDZDZĪVOKĻU DZĪVOJAMĀ ĒKA</v>
      </c>
      <c r="E5" s="281"/>
      <c r="F5" s="281"/>
      <c r="G5" s="281"/>
      <c r="H5" s="281"/>
      <c r="I5" s="281"/>
      <c r="J5" s="281"/>
      <c r="K5" s="281"/>
      <c r="L5" s="281"/>
      <c r="M5" s="17"/>
      <c r="N5" s="17"/>
      <c r="O5" s="17"/>
      <c r="P5" s="17"/>
    </row>
    <row r="6" spans="1:16" x14ac:dyDescent="0.2">
      <c r="A6" s="23"/>
      <c r="B6" s="211"/>
      <c r="C6" s="212" t="s">
        <v>6</v>
      </c>
      <c r="D6" s="281" t="str">
        <f>'Kops a'!D7</f>
        <v>ENERGOEFEKTIVITĀTES PAAUGSTINĀŠANA DAUDZDZĪVOKĻU DZĪVOJAMAI ĒKAI</v>
      </c>
      <c r="E6" s="281"/>
      <c r="F6" s="281"/>
      <c r="G6" s="281"/>
      <c r="H6" s="281"/>
      <c r="I6" s="281"/>
      <c r="J6" s="281"/>
      <c r="K6" s="281"/>
      <c r="L6" s="281"/>
      <c r="M6" s="17"/>
      <c r="N6" s="17"/>
      <c r="O6" s="17"/>
      <c r="P6" s="17"/>
    </row>
    <row r="7" spans="1:16" x14ac:dyDescent="0.2">
      <c r="A7" s="23"/>
      <c r="B7" s="211"/>
      <c r="C7" s="212" t="s">
        <v>7</v>
      </c>
      <c r="D7" s="281" t="str">
        <f>'Kops a'!D8</f>
        <v>Pasta iela 34, Jelgava, ēkas kad. apz. 0900 001 0177 001</v>
      </c>
      <c r="E7" s="281"/>
      <c r="F7" s="281"/>
      <c r="G7" s="281"/>
      <c r="H7" s="281"/>
      <c r="I7" s="281"/>
      <c r="J7" s="281"/>
      <c r="K7" s="281"/>
      <c r="L7" s="281"/>
      <c r="M7" s="17"/>
      <c r="N7" s="17"/>
      <c r="O7" s="17"/>
      <c r="P7" s="17"/>
    </row>
    <row r="8" spans="1:16" x14ac:dyDescent="0.2">
      <c r="A8" s="23"/>
      <c r="B8" s="211"/>
      <c r="C8" s="215" t="s">
        <v>20</v>
      </c>
      <c r="D8" s="281">
        <f>'Kops a'!D9</f>
        <v>0</v>
      </c>
      <c r="E8" s="281"/>
      <c r="F8" s="281"/>
      <c r="G8" s="281"/>
      <c r="H8" s="281"/>
      <c r="I8" s="281"/>
      <c r="J8" s="281"/>
      <c r="K8" s="281"/>
      <c r="L8" s="281"/>
      <c r="M8" s="17"/>
      <c r="N8" s="17"/>
      <c r="O8" s="17"/>
      <c r="P8" s="17"/>
    </row>
    <row r="9" spans="1:16" ht="11.25" customHeight="1" x14ac:dyDescent="0.2">
      <c r="A9" s="269" t="s">
        <v>702</v>
      </c>
      <c r="B9" s="269"/>
      <c r="C9" s="269"/>
      <c r="D9" s="269"/>
      <c r="E9" s="269"/>
      <c r="F9" s="269"/>
      <c r="G9" s="31"/>
      <c r="H9" s="31"/>
      <c r="I9" s="31"/>
      <c r="J9" s="273" t="s">
        <v>39</v>
      </c>
      <c r="K9" s="273"/>
      <c r="L9" s="273"/>
      <c r="M9" s="273"/>
      <c r="N9" s="280">
        <f>P320</f>
        <v>0</v>
      </c>
      <c r="O9" s="280"/>
      <c r="P9" s="31"/>
    </row>
    <row r="10" spans="1:16" x14ac:dyDescent="0.2">
      <c r="A10" s="32"/>
      <c r="B10" s="216"/>
      <c r="C10" s="215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1"/>
      <c r="P10" s="90" t="str">
        <f>A326</f>
        <v xml:space="preserve">Tāme sastādīta </v>
      </c>
    </row>
    <row r="11" spans="1:16" ht="10.8" thickBot="1" x14ac:dyDescent="0.25">
      <c r="A11" s="32"/>
      <c r="B11" s="216"/>
      <c r="C11" s="215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239" t="s">
        <v>23</v>
      </c>
      <c r="B12" s="296" t="s">
        <v>40</v>
      </c>
      <c r="C12" s="298" t="s">
        <v>41</v>
      </c>
      <c r="D12" s="278" t="s">
        <v>42</v>
      </c>
      <c r="E12" s="282" t="s">
        <v>43</v>
      </c>
      <c r="F12" s="270" t="s">
        <v>44</v>
      </c>
      <c r="G12" s="271"/>
      <c r="H12" s="271"/>
      <c r="I12" s="271"/>
      <c r="J12" s="271"/>
      <c r="K12" s="272"/>
      <c r="L12" s="270" t="s">
        <v>45</v>
      </c>
      <c r="M12" s="271"/>
      <c r="N12" s="271"/>
      <c r="O12" s="271"/>
      <c r="P12" s="272"/>
    </row>
    <row r="13" spans="1:16" ht="126.75" customHeight="1" thickBot="1" x14ac:dyDescent="0.25">
      <c r="A13" s="274"/>
      <c r="B13" s="297"/>
      <c r="C13" s="299"/>
      <c r="D13" s="279"/>
      <c r="E13" s="283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ht="39.6" x14ac:dyDescent="0.2">
      <c r="A14" s="163"/>
      <c r="B14" s="164"/>
      <c r="C14" s="165" t="s">
        <v>523</v>
      </c>
      <c r="D14" s="166"/>
      <c r="E14" s="167"/>
      <c r="F14" s="168"/>
      <c r="G14" s="169"/>
      <c r="H14" s="169"/>
      <c r="I14" s="169"/>
      <c r="J14" s="169"/>
      <c r="K14" s="194"/>
      <c r="L14" s="187"/>
      <c r="M14" s="131"/>
      <c r="N14" s="131"/>
      <c r="O14" s="131"/>
      <c r="P14" s="133"/>
    </row>
    <row r="15" spans="1:16" ht="26.4" x14ac:dyDescent="0.2">
      <c r="A15" s="110">
        <v>1</v>
      </c>
      <c r="B15" s="106" t="s">
        <v>60</v>
      </c>
      <c r="C15" s="100" t="s">
        <v>484</v>
      </c>
      <c r="D15" s="106" t="s">
        <v>62</v>
      </c>
      <c r="E15" s="112">
        <v>16.32</v>
      </c>
      <c r="F15" s="120"/>
      <c r="G15" s="121"/>
      <c r="H15" s="122">
        <f t="shared" ref="H15:H44" si="0">ROUND(F15*G15,2)</f>
        <v>0</v>
      </c>
      <c r="I15" s="121"/>
      <c r="J15" s="121"/>
      <c r="K15" s="179">
        <f t="shared" ref="K15:K20" si="1">ROUND(H15+J15+I15,2)</f>
        <v>0</v>
      </c>
      <c r="L15" s="184">
        <f t="shared" ref="L15:L44" si="2">ROUND(E15*F15,2)</f>
        <v>0</v>
      </c>
      <c r="M15" s="121">
        <f t="shared" ref="M15:M44" si="3">ROUND(E15*H15,2)</f>
        <v>0</v>
      </c>
      <c r="N15" s="121">
        <f t="shared" ref="N15:N44" si="4">ROUND(E15*I15,2)</f>
        <v>0</v>
      </c>
      <c r="O15" s="121">
        <f t="shared" ref="O15:O20" si="5">ROUND(E15*J15,2)</f>
        <v>0</v>
      </c>
      <c r="P15" s="123">
        <f t="shared" ref="P15:P44" si="6">ROUND(O15+N15+M15,2)</f>
        <v>0</v>
      </c>
    </row>
    <row r="16" spans="1:16" ht="13.2" x14ac:dyDescent="0.2">
      <c r="A16" s="110">
        <v>2</v>
      </c>
      <c r="B16" s="106" t="s">
        <v>60</v>
      </c>
      <c r="C16" s="100" t="s">
        <v>485</v>
      </c>
      <c r="D16" s="106" t="s">
        <v>73</v>
      </c>
      <c r="E16" s="112">
        <v>6.53</v>
      </c>
      <c r="F16" s="120"/>
      <c r="G16" s="121"/>
      <c r="H16" s="122">
        <f t="shared" si="0"/>
        <v>0</v>
      </c>
      <c r="I16" s="121"/>
      <c r="J16" s="121"/>
      <c r="K16" s="179">
        <f t="shared" si="1"/>
        <v>0</v>
      </c>
      <c r="L16" s="184">
        <f t="shared" si="2"/>
        <v>0</v>
      </c>
      <c r="M16" s="121">
        <f t="shared" si="3"/>
        <v>0</v>
      </c>
      <c r="N16" s="121">
        <f t="shared" si="4"/>
        <v>0</v>
      </c>
      <c r="O16" s="121">
        <f t="shared" si="5"/>
        <v>0</v>
      </c>
      <c r="P16" s="123">
        <f t="shared" si="6"/>
        <v>0</v>
      </c>
    </row>
    <row r="17" spans="1:16" ht="13.2" x14ac:dyDescent="0.2">
      <c r="A17" s="110">
        <v>3</v>
      </c>
      <c r="B17" s="106"/>
      <c r="C17" s="99" t="s">
        <v>373</v>
      </c>
      <c r="D17" s="106" t="s">
        <v>96</v>
      </c>
      <c r="E17" s="112">
        <f>E16*0.15</f>
        <v>0.97950000000000004</v>
      </c>
      <c r="F17" s="120"/>
      <c r="G17" s="121"/>
      <c r="H17" s="122"/>
      <c r="I17" s="121"/>
      <c r="J17" s="121"/>
      <c r="K17" s="179">
        <f t="shared" si="1"/>
        <v>0</v>
      </c>
      <c r="L17" s="184">
        <f t="shared" si="2"/>
        <v>0</v>
      </c>
      <c r="M17" s="121">
        <f t="shared" si="3"/>
        <v>0</v>
      </c>
      <c r="N17" s="121">
        <f t="shared" si="4"/>
        <v>0</v>
      </c>
      <c r="O17" s="121">
        <f t="shared" si="5"/>
        <v>0</v>
      </c>
      <c r="P17" s="123">
        <f t="shared" si="6"/>
        <v>0</v>
      </c>
    </row>
    <row r="18" spans="1:16" ht="26.4" x14ac:dyDescent="0.2">
      <c r="A18" s="110">
        <v>4</v>
      </c>
      <c r="B18" s="106"/>
      <c r="C18" s="99" t="s">
        <v>108</v>
      </c>
      <c r="D18" s="106" t="s">
        <v>109</v>
      </c>
      <c r="E18" s="112">
        <f>E16*5*1.2</f>
        <v>39.18</v>
      </c>
      <c r="F18" s="120"/>
      <c r="G18" s="121"/>
      <c r="H18" s="122"/>
      <c r="I18" s="121"/>
      <c r="J18" s="121"/>
      <c r="K18" s="179">
        <f t="shared" ref="K18" si="7">ROUND(H18+J18+I18,2)</f>
        <v>0</v>
      </c>
      <c r="L18" s="184">
        <f t="shared" ref="L18" si="8">ROUND(E18*F18,2)</f>
        <v>0</v>
      </c>
      <c r="M18" s="121">
        <f t="shared" ref="M18" si="9">ROUND(E18*H18,2)</f>
        <v>0</v>
      </c>
      <c r="N18" s="121">
        <f t="shared" ref="N18" si="10">ROUND(E18*I18,2)</f>
        <v>0</v>
      </c>
      <c r="O18" s="121">
        <f t="shared" ref="O18" si="11">ROUND(E18*J18,2)</f>
        <v>0</v>
      </c>
      <c r="P18" s="123">
        <f t="shared" ref="P18" si="12">ROUND(O18+N18+M18,2)</f>
        <v>0</v>
      </c>
    </row>
    <row r="19" spans="1:16" ht="13.2" x14ac:dyDescent="0.2">
      <c r="A19" s="110"/>
      <c r="B19" s="106"/>
      <c r="C19" s="174" t="s">
        <v>486</v>
      </c>
      <c r="D19" s="106"/>
      <c r="E19" s="112"/>
      <c r="F19" s="120"/>
      <c r="G19" s="121"/>
      <c r="H19" s="122"/>
      <c r="I19" s="121"/>
      <c r="J19" s="121"/>
      <c r="K19" s="179"/>
      <c r="L19" s="184"/>
      <c r="M19" s="121"/>
      <c r="N19" s="121"/>
      <c r="O19" s="121"/>
      <c r="P19" s="123"/>
    </row>
    <row r="20" spans="1:16" ht="13.2" x14ac:dyDescent="0.2">
      <c r="A20" s="113">
        <v>1</v>
      </c>
      <c r="B20" s="149" t="s">
        <v>60</v>
      </c>
      <c r="C20" s="100" t="s">
        <v>524</v>
      </c>
      <c r="D20" s="106" t="s">
        <v>62</v>
      </c>
      <c r="E20" s="112">
        <v>143.06</v>
      </c>
      <c r="F20" s="120"/>
      <c r="G20" s="121"/>
      <c r="H20" s="122">
        <f t="shared" si="0"/>
        <v>0</v>
      </c>
      <c r="I20" s="121"/>
      <c r="J20" s="121"/>
      <c r="K20" s="179">
        <f t="shared" si="1"/>
        <v>0</v>
      </c>
      <c r="L20" s="184">
        <f t="shared" si="2"/>
        <v>0</v>
      </c>
      <c r="M20" s="121">
        <f t="shared" si="3"/>
        <v>0</v>
      </c>
      <c r="N20" s="121">
        <f t="shared" si="4"/>
        <v>0</v>
      </c>
      <c r="O20" s="121">
        <f t="shared" si="5"/>
        <v>0</v>
      </c>
      <c r="P20" s="123">
        <f t="shared" si="6"/>
        <v>0</v>
      </c>
    </row>
    <row r="21" spans="1:16" ht="39.6" x14ac:dyDescent="0.2">
      <c r="A21" s="110">
        <v>2</v>
      </c>
      <c r="B21" s="106" t="s">
        <v>60</v>
      </c>
      <c r="C21" s="100" t="s">
        <v>525</v>
      </c>
      <c r="D21" s="106" t="s">
        <v>73</v>
      </c>
      <c r="E21" s="112">
        <f>36.13*1.05</f>
        <v>37.936500000000002</v>
      </c>
      <c r="F21" s="120"/>
      <c r="G21" s="121"/>
      <c r="H21" s="122">
        <f t="shared" si="0"/>
        <v>0</v>
      </c>
      <c r="I21" s="121"/>
      <c r="J21" s="121"/>
      <c r="K21" s="179"/>
      <c r="L21" s="184">
        <f t="shared" si="2"/>
        <v>0</v>
      </c>
      <c r="M21" s="121">
        <f t="shared" si="3"/>
        <v>0</v>
      </c>
      <c r="N21" s="121">
        <f t="shared" si="4"/>
        <v>0</v>
      </c>
      <c r="O21" s="121">
        <f>ROUND(E21*J21,2)</f>
        <v>0</v>
      </c>
      <c r="P21" s="123">
        <f t="shared" si="6"/>
        <v>0</v>
      </c>
    </row>
    <row r="22" spans="1:16" ht="26.4" x14ac:dyDescent="0.2">
      <c r="A22" s="113">
        <v>3</v>
      </c>
      <c r="B22" s="149" t="s">
        <v>60</v>
      </c>
      <c r="C22" s="108" t="s">
        <v>487</v>
      </c>
      <c r="D22" s="135" t="s">
        <v>62</v>
      </c>
      <c r="E22" s="109">
        <v>31.2</v>
      </c>
      <c r="F22" s="120"/>
      <c r="G22" s="121"/>
      <c r="H22" s="122">
        <f t="shared" si="0"/>
        <v>0</v>
      </c>
      <c r="I22" s="121"/>
      <c r="J22" s="121"/>
      <c r="K22" s="179">
        <f t="shared" ref="K22" si="13">ROUND(H22+J22+I22,2)</f>
        <v>0</v>
      </c>
      <c r="L22" s="184">
        <f t="shared" si="2"/>
        <v>0</v>
      </c>
      <c r="M22" s="121">
        <f t="shared" si="3"/>
        <v>0</v>
      </c>
      <c r="N22" s="121">
        <f t="shared" si="4"/>
        <v>0</v>
      </c>
      <c r="O22" s="121">
        <f t="shared" ref="O22" si="14">ROUND(E22*J22,2)</f>
        <v>0</v>
      </c>
      <c r="P22" s="123">
        <f t="shared" si="6"/>
        <v>0</v>
      </c>
    </row>
    <row r="23" spans="1:16" ht="13.2" x14ac:dyDescent="0.2">
      <c r="A23" s="113">
        <v>4</v>
      </c>
      <c r="B23" s="106" t="s">
        <v>60</v>
      </c>
      <c r="C23" s="100" t="s">
        <v>488</v>
      </c>
      <c r="D23" s="106" t="s">
        <v>62</v>
      </c>
      <c r="E23" s="112">
        <v>28.8</v>
      </c>
      <c r="F23" s="120"/>
      <c r="G23" s="121"/>
      <c r="H23" s="122">
        <f t="shared" si="0"/>
        <v>0</v>
      </c>
      <c r="I23" s="121"/>
      <c r="J23" s="121"/>
      <c r="K23" s="179"/>
      <c r="L23" s="184">
        <f t="shared" si="2"/>
        <v>0</v>
      </c>
      <c r="M23" s="121">
        <f t="shared" si="3"/>
        <v>0</v>
      </c>
      <c r="N23" s="121">
        <f t="shared" si="4"/>
        <v>0</v>
      </c>
      <c r="O23" s="121">
        <f>ROUND(E23*J23,2)</f>
        <v>0</v>
      </c>
      <c r="P23" s="123">
        <f t="shared" si="6"/>
        <v>0</v>
      </c>
    </row>
    <row r="24" spans="1:16" ht="13.2" x14ac:dyDescent="0.2">
      <c r="A24" s="110">
        <v>5</v>
      </c>
      <c r="B24" s="106" t="s">
        <v>60</v>
      </c>
      <c r="C24" s="100" t="s">
        <v>489</v>
      </c>
      <c r="D24" s="106" t="s">
        <v>62</v>
      </c>
      <c r="E24" s="112">
        <v>67.52</v>
      </c>
      <c r="F24" s="120"/>
      <c r="G24" s="121"/>
      <c r="H24" s="122">
        <f t="shared" si="0"/>
        <v>0</v>
      </c>
      <c r="I24" s="121"/>
      <c r="J24" s="121"/>
      <c r="K24" s="179"/>
      <c r="L24" s="184">
        <f t="shared" si="2"/>
        <v>0</v>
      </c>
      <c r="M24" s="121">
        <f t="shared" si="3"/>
        <v>0</v>
      </c>
      <c r="N24" s="121">
        <f t="shared" si="4"/>
        <v>0</v>
      </c>
      <c r="O24" s="121">
        <f>ROUND(E24*J24,2)</f>
        <v>0</v>
      </c>
      <c r="P24" s="123">
        <f t="shared" si="6"/>
        <v>0</v>
      </c>
    </row>
    <row r="25" spans="1:16" ht="26.4" x14ac:dyDescent="0.2">
      <c r="A25" s="113">
        <v>6</v>
      </c>
      <c r="B25" s="106" t="s">
        <v>60</v>
      </c>
      <c r="C25" s="100" t="s">
        <v>490</v>
      </c>
      <c r="D25" s="106" t="s">
        <v>62</v>
      </c>
      <c r="E25" s="112">
        <v>32.9</v>
      </c>
      <c r="F25" s="120"/>
      <c r="G25" s="121"/>
      <c r="H25" s="122">
        <f t="shared" si="0"/>
        <v>0</v>
      </c>
      <c r="I25" s="121"/>
      <c r="J25" s="121"/>
      <c r="K25" s="179">
        <f t="shared" ref="K25:K38" si="15">ROUND(H25+J25+I25,2)</f>
        <v>0</v>
      </c>
      <c r="L25" s="184">
        <f t="shared" si="2"/>
        <v>0</v>
      </c>
      <c r="M25" s="121">
        <f t="shared" si="3"/>
        <v>0</v>
      </c>
      <c r="N25" s="121">
        <f t="shared" si="4"/>
        <v>0</v>
      </c>
      <c r="O25" s="121">
        <f t="shared" ref="O25:O38" si="16">ROUND(E25*J25,2)</f>
        <v>0</v>
      </c>
      <c r="P25" s="123">
        <f t="shared" si="6"/>
        <v>0</v>
      </c>
    </row>
    <row r="26" spans="1:16" ht="13.2" x14ac:dyDescent="0.2">
      <c r="A26" s="113">
        <v>7</v>
      </c>
      <c r="B26" s="106" t="s">
        <v>60</v>
      </c>
      <c r="C26" s="100" t="s">
        <v>491</v>
      </c>
      <c r="D26" s="106" t="s">
        <v>62</v>
      </c>
      <c r="E26" s="112">
        <v>77.260000000000005</v>
      </c>
      <c r="F26" s="120"/>
      <c r="G26" s="121"/>
      <c r="H26" s="122">
        <f t="shared" si="0"/>
        <v>0</v>
      </c>
      <c r="I26" s="121"/>
      <c r="J26" s="121"/>
      <c r="K26" s="179">
        <f t="shared" si="15"/>
        <v>0</v>
      </c>
      <c r="L26" s="184">
        <f t="shared" si="2"/>
        <v>0</v>
      </c>
      <c r="M26" s="121">
        <f t="shared" si="3"/>
        <v>0</v>
      </c>
      <c r="N26" s="121">
        <f t="shared" si="4"/>
        <v>0</v>
      </c>
      <c r="O26" s="121">
        <f t="shared" si="16"/>
        <v>0</v>
      </c>
      <c r="P26" s="123">
        <f t="shared" si="6"/>
        <v>0</v>
      </c>
    </row>
    <row r="27" spans="1:16" ht="13.2" x14ac:dyDescent="0.2">
      <c r="A27" s="110">
        <v>8</v>
      </c>
      <c r="B27" s="106" t="s">
        <v>60</v>
      </c>
      <c r="C27" s="100" t="s">
        <v>103</v>
      </c>
      <c r="D27" s="106" t="s">
        <v>68</v>
      </c>
      <c r="E27" s="112">
        <v>1</v>
      </c>
      <c r="F27" s="120"/>
      <c r="G27" s="121"/>
      <c r="H27" s="122">
        <f t="shared" si="0"/>
        <v>0</v>
      </c>
      <c r="I27" s="121"/>
      <c r="J27" s="121"/>
      <c r="K27" s="179">
        <f t="shared" si="15"/>
        <v>0</v>
      </c>
      <c r="L27" s="184">
        <f t="shared" si="2"/>
        <v>0</v>
      </c>
      <c r="M27" s="121">
        <f t="shared" si="3"/>
        <v>0</v>
      </c>
      <c r="N27" s="121">
        <f t="shared" si="4"/>
        <v>0</v>
      </c>
      <c r="O27" s="121">
        <f t="shared" si="16"/>
        <v>0</v>
      </c>
      <c r="P27" s="123">
        <f t="shared" si="6"/>
        <v>0</v>
      </c>
    </row>
    <row r="28" spans="1:16" ht="13.2" x14ac:dyDescent="0.2">
      <c r="A28" s="113">
        <v>9</v>
      </c>
      <c r="B28" s="106" t="s">
        <v>60</v>
      </c>
      <c r="C28" s="100" t="s">
        <v>112</v>
      </c>
      <c r="D28" s="106" t="s">
        <v>73</v>
      </c>
      <c r="E28" s="112">
        <f>E21</f>
        <v>37.936500000000002</v>
      </c>
      <c r="F28" s="120"/>
      <c r="G28" s="121"/>
      <c r="H28" s="122">
        <f t="shared" si="0"/>
        <v>0</v>
      </c>
      <c r="I28" s="121"/>
      <c r="J28" s="121"/>
      <c r="K28" s="179">
        <f t="shared" si="15"/>
        <v>0</v>
      </c>
      <c r="L28" s="184">
        <f t="shared" si="2"/>
        <v>0</v>
      </c>
      <c r="M28" s="121">
        <f t="shared" si="3"/>
        <v>0</v>
      </c>
      <c r="N28" s="121">
        <f t="shared" si="4"/>
        <v>0</v>
      </c>
      <c r="O28" s="121">
        <f t="shared" si="16"/>
        <v>0</v>
      </c>
      <c r="P28" s="123">
        <f t="shared" si="6"/>
        <v>0</v>
      </c>
    </row>
    <row r="29" spans="1:16" ht="12.75" customHeight="1" x14ac:dyDescent="0.2">
      <c r="A29" s="113">
        <v>10</v>
      </c>
      <c r="B29" s="106"/>
      <c r="C29" s="99" t="s">
        <v>113</v>
      </c>
      <c r="D29" s="106" t="s">
        <v>96</v>
      </c>
      <c r="E29" s="112">
        <f>E28*0.12</f>
        <v>4.5523800000000003</v>
      </c>
      <c r="F29" s="120"/>
      <c r="G29" s="121"/>
      <c r="H29" s="122"/>
      <c r="I29" s="121"/>
      <c r="J29" s="121"/>
      <c r="K29" s="179">
        <f t="shared" si="15"/>
        <v>0</v>
      </c>
      <c r="L29" s="184">
        <f t="shared" si="2"/>
        <v>0</v>
      </c>
      <c r="M29" s="121">
        <f t="shared" si="3"/>
        <v>0</v>
      </c>
      <c r="N29" s="121">
        <f t="shared" si="4"/>
        <v>0</v>
      </c>
      <c r="O29" s="121">
        <f t="shared" si="16"/>
        <v>0</v>
      </c>
      <c r="P29" s="123">
        <f t="shared" si="6"/>
        <v>0</v>
      </c>
    </row>
    <row r="30" spans="1:16" ht="13.2" x14ac:dyDescent="0.2">
      <c r="A30" s="110">
        <v>11</v>
      </c>
      <c r="B30" s="106"/>
      <c r="C30" s="99" t="s">
        <v>376</v>
      </c>
      <c r="D30" s="106" t="s">
        <v>99</v>
      </c>
      <c r="E30" s="112">
        <f>E28*4.5</f>
        <v>170.71425000000002</v>
      </c>
      <c r="F30" s="120"/>
      <c r="G30" s="121"/>
      <c r="H30" s="122"/>
      <c r="I30" s="121"/>
      <c r="J30" s="121"/>
      <c r="K30" s="179">
        <f t="shared" si="15"/>
        <v>0</v>
      </c>
      <c r="L30" s="184">
        <f t="shared" si="2"/>
        <v>0</v>
      </c>
      <c r="M30" s="121">
        <f t="shared" si="3"/>
        <v>0</v>
      </c>
      <c r="N30" s="121">
        <f t="shared" si="4"/>
        <v>0</v>
      </c>
      <c r="O30" s="121">
        <f t="shared" si="16"/>
        <v>0</v>
      </c>
      <c r="P30" s="123">
        <f t="shared" si="6"/>
        <v>0</v>
      </c>
    </row>
    <row r="31" spans="1:16" ht="13.2" x14ac:dyDescent="0.2">
      <c r="A31" s="113">
        <v>12</v>
      </c>
      <c r="B31" s="106"/>
      <c r="C31" s="99" t="s">
        <v>101</v>
      </c>
      <c r="D31" s="106" t="s">
        <v>73</v>
      </c>
      <c r="E31" s="112">
        <f>E28*1.2</f>
        <v>45.523800000000001</v>
      </c>
      <c r="F31" s="120"/>
      <c r="G31" s="121"/>
      <c r="H31" s="122"/>
      <c r="I31" s="121"/>
      <c r="J31" s="121"/>
      <c r="K31" s="179">
        <f t="shared" si="15"/>
        <v>0</v>
      </c>
      <c r="L31" s="184">
        <f t="shared" si="2"/>
        <v>0</v>
      </c>
      <c r="M31" s="121">
        <f t="shared" si="3"/>
        <v>0</v>
      </c>
      <c r="N31" s="121">
        <f t="shared" si="4"/>
        <v>0</v>
      </c>
      <c r="O31" s="121">
        <f t="shared" si="16"/>
        <v>0</v>
      </c>
      <c r="P31" s="123">
        <f t="shared" si="6"/>
        <v>0</v>
      </c>
    </row>
    <row r="32" spans="1:16" ht="13.2" x14ac:dyDescent="0.2">
      <c r="A32" s="113">
        <v>13</v>
      </c>
      <c r="B32" s="106"/>
      <c r="C32" s="99" t="s">
        <v>115</v>
      </c>
      <c r="D32" s="106" t="s">
        <v>62</v>
      </c>
      <c r="E32" s="112">
        <f>1.1*1.1</f>
        <v>1.2100000000000002</v>
      </c>
      <c r="F32" s="120"/>
      <c r="G32" s="121"/>
      <c r="H32" s="122"/>
      <c r="I32" s="121"/>
      <c r="J32" s="121"/>
      <c r="K32" s="179">
        <f t="shared" si="15"/>
        <v>0</v>
      </c>
      <c r="L32" s="184">
        <f t="shared" si="2"/>
        <v>0</v>
      </c>
      <c r="M32" s="121">
        <f t="shared" si="3"/>
        <v>0</v>
      </c>
      <c r="N32" s="121">
        <f t="shared" si="4"/>
        <v>0</v>
      </c>
      <c r="O32" s="121">
        <f t="shared" si="16"/>
        <v>0</v>
      </c>
      <c r="P32" s="123">
        <f t="shared" si="6"/>
        <v>0</v>
      </c>
    </row>
    <row r="33" spans="1:16" ht="13.2" x14ac:dyDescent="0.2">
      <c r="A33" s="110">
        <v>14</v>
      </c>
      <c r="B33" s="106" t="s">
        <v>60</v>
      </c>
      <c r="C33" s="100" t="s">
        <v>117</v>
      </c>
      <c r="D33" s="106" t="s">
        <v>73</v>
      </c>
      <c r="E33" s="112">
        <f>(E26+E25)*0.25</f>
        <v>27.54</v>
      </c>
      <c r="F33" s="120"/>
      <c r="G33" s="121"/>
      <c r="H33" s="122">
        <f t="shared" ref="H33" si="17">ROUND(F33*G33,2)</f>
        <v>0</v>
      </c>
      <c r="I33" s="121"/>
      <c r="J33" s="121"/>
      <c r="K33" s="179">
        <f t="shared" si="15"/>
        <v>0</v>
      </c>
      <c r="L33" s="184">
        <f t="shared" si="2"/>
        <v>0</v>
      </c>
      <c r="M33" s="121">
        <f t="shared" si="3"/>
        <v>0</v>
      </c>
      <c r="N33" s="121">
        <f t="shared" si="4"/>
        <v>0</v>
      </c>
      <c r="O33" s="121">
        <f t="shared" si="16"/>
        <v>0</v>
      </c>
      <c r="P33" s="123">
        <f t="shared" si="6"/>
        <v>0</v>
      </c>
    </row>
    <row r="34" spans="1:16" ht="26.4" x14ac:dyDescent="0.2">
      <c r="A34" s="113">
        <v>15</v>
      </c>
      <c r="B34" s="106"/>
      <c r="C34" s="99" t="s">
        <v>294</v>
      </c>
      <c r="D34" s="106" t="s">
        <v>96</v>
      </c>
      <c r="E34" s="112">
        <f>E33*0.15</f>
        <v>4.1309999999999993</v>
      </c>
      <c r="F34" s="120"/>
      <c r="G34" s="121"/>
      <c r="H34" s="122"/>
      <c r="I34" s="121"/>
      <c r="J34" s="121"/>
      <c r="K34" s="179">
        <f t="shared" si="15"/>
        <v>0</v>
      </c>
      <c r="L34" s="184">
        <f t="shared" si="2"/>
        <v>0</v>
      </c>
      <c r="M34" s="121">
        <f t="shared" si="3"/>
        <v>0</v>
      </c>
      <c r="N34" s="121">
        <f t="shared" si="4"/>
        <v>0</v>
      </c>
      <c r="O34" s="121">
        <f t="shared" si="16"/>
        <v>0</v>
      </c>
      <c r="P34" s="123">
        <f t="shared" si="6"/>
        <v>0</v>
      </c>
    </row>
    <row r="35" spans="1:16" ht="26.4" x14ac:dyDescent="0.2">
      <c r="A35" s="113">
        <v>16</v>
      </c>
      <c r="B35" s="106"/>
      <c r="C35" s="99" t="s">
        <v>405</v>
      </c>
      <c r="D35" s="106" t="s">
        <v>99</v>
      </c>
      <c r="E35" s="112">
        <f>E33*4</f>
        <v>110.16</v>
      </c>
      <c r="F35" s="120"/>
      <c r="G35" s="121"/>
      <c r="H35" s="122"/>
      <c r="I35" s="121"/>
      <c r="J35" s="121"/>
      <c r="K35" s="179">
        <f t="shared" si="15"/>
        <v>0</v>
      </c>
      <c r="L35" s="184">
        <f t="shared" si="2"/>
        <v>0</v>
      </c>
      <c r="M35" s="121">
        <f t="shared" si="3"/>
        <v>0</v>
      </c>
      <c r="N35" s="121">
        <f t="shared" si="4"/>
        <v>0</v>
      </c>
      <c r="O35" s="121">
        <f t="shared" si="16"/>
        <v>0</v>
      </c>
      <c r="P35" s="123">
        <f t="shared" si="6"/>
        <v>0</v>
      </c>
    </row>
    <row r="36" spans="1:16" ht="26.4" x14ac:dyDescent="0.2">
      <c r="A36" s="110"/>
      <c r="B36" s="106"/>
      <c r="C36" s="174" t="s">
        <v>492</v>
      </c>
      <c r="D36" s="106"/>
      <c r="E36" s="112"/>
      <c r="F36" s="120"/>
      <c r="G36" s="121"/>
      <c r="H36" s="122"/>
      <c r="I36" s="121"/>
      <c r="J36" s="121"/>
      <c r="K36" s="179"/>
      <c r="L36" s="184"/>
      <c r="M36" s="121"/>
      <c r="N36" s="121"/>
      <c r="O36" s="121"/>
      <c r="P36" s="123"/>
    </row>
    <row r="37" spans="1:16" ht="13.2" x14ac:dyDescent="0.2">
      <c r="A37" s="113">
        <v>1</v>
      </c>
      <c r="B37" s="149" t="s">
        <v>60</v>
      </c>
      <c r="C37" s="100" t="s">
        <v>493</v>
      </c>
      <c r="D37" s="106" t="s">
        <v>62</v>
      </c>
      <c r="E37" s="112">
        <v>16.32</v>
      </c>
      <c r="F37" s="120"/>
      <c r="G37" s="121"/>
      <c r="H37" s="122">
        <f t="shared" ref="H37" si="18">ROUND(F37*G37,2)</f>
        <v>0</v>
      </c>
      <c r="I37" s="121"/>
      <c r="J37" s="121"/>
      <c r="K37" s="179">
        <f t="shared" ref="K37" si="19">ROUND(H37+J37+I37,2)</f>
        <v>0</v>
      </c>
      <c r="L37" s="184">
        <f t="shared" ref="L37" si="20">ROUND(E37*F37,2)</f>
        <v>0</v>
      </c>
      <c r="M37" s="121">
        <f t="shared" ref="M37" si="21">ROUND(E37*H37,2)</f>
        <v>0</v>
      </c>
      <c r="N37" s="121">
        <f t="shared" ref="N37" si="22">ROUND(E37*I37,2)</f>
        <v>0</v>
      </c>
      <c r="O37" s="121">
        <f t="shared" ref="O37" si="23">ROUND(E37*J37,2)</f>
        <v>0</v>
      </c>
      <c r="P37" s="123">
        <f t="shared" ref="P37" si="24">ROUND(O37+N37+M37,2)</f>
        <v>0</v>
      </c>
    </row>
    <row r="38" spans="1:16" ht="13.2" x14ac:dyDescent="0.2">
      <c r="A38" s="110">
        <v>2</v>
      </c>
      <c r="B38" s="106" t="s">
        <v>60</v>
      </c>
      <c r="C38" s="100" t="s">
        <v>494</v>
      </c>
      <c r="D38" s="106" t="s">
        <v>73</v>
      </c>
      <c r="E38" s="112">
        <v>3.83</v>
      </c>
      <c r="F38" s="120"/>
      <c r="G38" s="121"/>
      <c r="H38" s="122">
        <f t="shared" si="0"/>
        <v>0</v>
      </c>
      <c r="I38" s="121"/>
      <c r="J38" s="121"/>
      <c r="K38" s="179">
        <f t="shared" si="15"/>
        <v>0</v>
      </c>
      <c r="L38" s="184">
        <f t="shared" si="2"/>
        <v>0</v>
      </c>
      <c r="M38" s="121">
        <f t="shared" si="3"/>
        <v>0</v>
      </c>
      <c r="N38" s="121">
        <f t="shared" si="4"/>
        <v>0</v>
      </c>
      <c r="O38" s="121">
        <f t="shared" si="16"/>
        <v>0</v>
      </c>
      <c r="P38" s="123">
        <f t="shared" si="6"/>
        <v>0</v>
      </c>
    </row>
    <row r="39" spans="1:16" ht="13.2" x14ac:dyDescent="0.2">
      <c r="A39" s="110">
        <v>3</v>
      </c>
      <c r="B39" s="106" t="s">
        <v>60</v>
      </c>
      <c r="C39" s="100" t="s">
        <v>495</v>
      </c>
      <c r="D39" s="106" t="s">
        <v>62</v>
      </c>
      <c r="E39" s="112">
        <v>11.76</v>
      </c>
      <c r="F39" s="120"/>
      <c r="G39" s="121"/>
      <c r="H39" s="122">
        <f t="shared" si="0"/>
        <v>0</v>
      </c>
      <c r="I39" s="121"/>
      <c r="J39" s="121"/>
      <c r="K39" s="179"/>
      <c r="L39" s="184">
        <f t="shared" si="2"/>
        <v>0</v>
      </c>
      <c r="M39" s="121">
        <f t="shared" si="3"/>
        <v>0</v>
      </c>
      <c r="N39" s="121">
        <f t="shared" si="4"/>
        <v>0</v>
      </c>
      <c r="O39" s="121">
        <f>ROUND(E39*J39,2)</f>
        <v>0</v>
      </c>
      <c r="P39" s="123">
        <f t="shared" si="6"/>
        <v>0</v>
      </c>
    </row>
    <row r="40" spans="1:16" ht="13.2" x14ac:dyDescent="0.2">
      <c r="A40" s="110">
        <v>4</v>
      </c>
      <c r="B40" s="106" t="s">
        <v>60</v>
      </c>
      <c r="C40" s="100" t="s">
        <v>128</v>
      </c>
      <c r="D40" s="106" t="s">
        <v>73</v>
      </c>
      <c r="E40" s="112">
        <v>3.83</v>
      </c>
      <c r="F40" s="120"/>
      <c r="G40" s="121"/>
      <c r="H40" s="122">
        <f t="shared" si="0"/>
        <v>0</v>
      </c>
      <c r="I40" s="121"/>
      <c r="J40" s="121"/>
      <c r="K40" s="179">
        <f t="shared" ref="K40:K150" si="25">ROUND(H40+J40+I40,2)</f>
        <v>0</v>
      </c>
      <c r="L40" s="184">
        <f t="shared" si="2"/>
        <v>0</v>
      </c>
      <c r="M40" s="121">
        <f t="shared" si="3"/>
        <v>0</v>
      </c>
      <c r="N40" s="121">
        <f t="shared" si="4"/>
        <v>0</v>
      </c>
      <c r="O40" s="121">
        <f t="shared" ref="O40:O150" si="26">ROUND(E40*J40,2)</f>
        <v>0</v>
      </c>
      <c r="P40" s="123">
        <f t="shared" si="6"/>
        <v>0</v>
      </c>
    </row>
    <row r="41" spans="1:16" ht="13.2" x14ac:dyDescent="0.2">
      <c r="A41" s="110">
        <v>5</v>
      </c>
      <c r="B41" s="106" t="s">
        <v>60</v>
      </c>
      <c r="C41" s="100" t="s">
        <v>528</v>
      </c>
      <c r="D41" s="106" t="s">
        <v>73</v>
      </c>
      <c r="E41" s="112">
        <f>E40</f>
        <v>3.83</v>
      </c>
      <c r="F41" s="120"/>
      <c r="G41" s="121"/>
      <c r="H41" s="122">
        <f t="shared" si="0"/>
        <v>0</v>
      </c>
      <c r="I41" s="121"/>
      <c r="J41" s="121"/>
      <c r="K41" s="179">
        <f t="shared" si="25"/>
        <v>0</v>
      </c>
      <c r="L41" s="184">
        <f t="shared" si="2"/>
        <v>0</v>
      </c>
      <c r="M41" s="121">
        <f t="shared" si="3"/>
        <v>0</v>
      </c>
      <c r="N41" s="121">
        <f t="shared" si="4"/>
        <v>0</v>
      </c>
      <c r="O41" s="121">
        <f t="shared" si="26"/>
        <v>0</v>
      </c>
      <c r="P41" s="123">
        <f t="shared" si="6"/>
        <v>0</v>
      </c>
    </row>
    <row r="42" spans="1:16" ht="13.2" x14ac:dyDescent="0.2">
      <c r="A42" s="110">
        <v>6</v>
      </c>
      <c r="B42" s="106"/>
      <c r="C42" s="99" t="s">
        <v>262</v>
      </c>
      <c r="D42" s="106" t="s">
        <v>96</v>
      </c>
      <c r="E42" s="112">
        <f>E41*0.17</f>
        <v>0.65110000000000001</v>
      </c>
      <c r="F42" s="120"/>
      <c r="G42" s="121"/>
      <c r="H42" s="122"/>
      <c r="I42" s="121"/>
      <c r="J42" s="121"/>
      <c r="K42" s="179">
        <f t="shared" si="25"/>
        <v>0</v>
      </c>
      <c r="L42" s="184">
        <f t="shared" si="2"/>
        <v>0</v>
      </c>
      <c r="M42" s="121">
        <f t="shared" si="3"/>
        <v>0</v>
      </c>
      <c r="N42" s="121">
        <f t="shared" si="4"/>
        <v>0</v>
      </c>
      <c r="O42" s="121">
        <f t="shared" si="26"/>
        <v>0</v>
      </c>
      <c r="P42" s="123">
        <f t="shared" si="6"/>
        <v>0</v>
      </c>
    </row>
    <row r="43" spans="1:16" ht="13.2" x14ac:dyDescent="0.2">
      <c r="A43" s="110">
        <v>7</v>
      </c>
      <c r="B43" s="106"/>
      <c r="C43" s="99" t="s">
        <v>581</v>
      </c>
      <c r="D43" s="106" t="s">
        <v>96</v>
      </c>
      <c r="E43" s="152">
        <f>E41*0.12*2*1.05</f>
        <v>0.96516000000000002</v>
      </c>
      <c r="F43" s="120"/>
      <c r="G43" s="121"/>
      <c r="H43" s="122"/>
      <c r="I43" s="121"/>
      <c r="J43" s="121"/>
      <c r="K43" s="179">
        <f t="shared" si="25"/>
        <v>0</v>
      </c>
      <c r="L43" s="184">
        <f t="shared" si="2"/>
        <v>0</v>
      </c>
      <c r="M43" s="121">
        <f t="shared" si="3"/>
        <v>0</v>
      </c>
      <c r="N43" s="121">
        <f t="shared" si="4"/>
        <v>0</v>
      </c>
      <c r="O43" s="121">
        <f t="shared" si="26"/>
        <v>0</v>
      </c>
      <c r="P43" s="123">
        <f t="shared" si="6"/>
        <v>0</v>
      </c>
    </row>
    <row r="44" spans="1:16" ht="26.4" x14ac:dyDescent="0.2">
      <c r="A44" s="110">
        <v>8</v>
      </c>
      <c r="B44" s="106" t="s">
        <v>60</v>
      </c>
      <c r="C44" s="100" t="s">
        <v>496</v>
      </c>
      <c r="D44" s="106" t="s">
        <v>62</v>
      </c>
      <c r="E44" s="112">
        <v>3.6</v>
      </c>
      <c r="F44" s="120"/>
      <c r="G44" s="121"/>
      <c r="H44" s="122">
        <f t="shared" si="0"/>
        <v>0</v>
      </c>
      <c r="I44" s="121"/>
      <c r="J44" s="121"/>
      <c r="K44" s="179">
        <f t="shared" si="25"/>
        <v>0</v>
      </c>
      <c r="L44" s="184">
        <f t="shared" si="2"/>
        <v>0</v>
      </c>
      <c r="M44" s="121">
        <f t="shared" si="3"/>
        <v>0</v>
      </c>
      <c r="N44" s="121">
        <f t="shared" si="4"/>
        <v>0</v>
      </c>
      <c r="O44" s="121">
        <f t="shared" si="26"/>
        <v>0</v>
      </c>
      <c r="P44" s="123">
        <f t="shared" si="6"/>
        <v>0</v>
      </c>
    </row>
    <row r="45" spans="1:16" ht="39.6" x14ac:dyDescent="0.2">
      <c r="A45" s="163"/>
      <c r="B45" s="164"/>
      <c r="C45" s="165" t="s">
        <v>526</v>
      </c>
      <c r="D45" s="166"/>
      <c r="E45" s="167"/>
      <c r="F45" s="168"/>
      <c r="G45" s="169"/>
      <c r="H45" s="169"/>
      <c r="I45" s="169"/>
      <c r="J45" s="169"/>
      <c r="K45" s="194"/>
      <c r="L45" s="195"/>
      <c r="M45" s="172"/>
      <c r="N45" s="172"/>
      <c r="O45" s="172"/>
      <c r="P45" s="173"/>
    </row>
    <row r="46" spans="1:16" ht="26.4" x14ac:dyDescent="0.2">
      <c r="A46" s="110">
        <v>1</v>
      </c>
      <c r="B46" s="106" t="s">
        <v>60</v>
      </c>
      <c r="C46" s="100" t="s">
        <v>484</v>
      </c>
      <c r="D46" s="106" t="s">
        <v>62</v>
      </c>
      <c r="E46" s="112">
        <v>9.2799999999999994</v>
      </c>
      <c r="F46" s="120"/>
      <c r="G46" s="121"/>
      <c r="H46" s="122">
        <f t="shared" ref="H46:H47" si="27">ROUND(F46*G46,2)</f>
        <v>0</v>
      </c>
      <c r="I46" s="121"/>
      <c r="J46" s="121"/>
      <c r="K46" s="179">
        <f t="shared" ref="K46:K49" si="28">ROUND(H46+J46+I46,2)</f>
        <v>0</v>
      </c>
      <c r="L46" s="184">
        <f t="shared" ref="L46:L49" si="29">ROUND(E46*F46,2)</f>
        <v>0</v>
      </c>
      <c r="M46" s="121">
        <f t="shared" ref="M46:M49" si="30">ROUND(E46*H46,2)</f>
        <v>0</v>
      </c>
      <c r="N46" s="121">
        <f t="shared" ref="N46:N49" si="31">ROUND(E46*I46,2)</f>
        <v>0</v>
      </c>
      <c r="O46" s="121">
        <f t="shared" ref="O46:O49" si="32">ROUND(E46*J46,2)</f>
        <v>0</v>
      </c>
      <c r="P46" s="123">
        <f t="shared" ref="P46:P49" si="33">ROUND(O46+N46+M46,2)</f>
        <v>0</v>
      </c>
    </row>
    <row r="47" spans="1:16" ht="13.2" x14ac:dyDescent="0.2">
      <c r="A47" s="110">
        <v>2</v>
      </c>
      <c r="B47" s="106" t="s">
        <v>60</v>
      </c>
      <c r="C47" s="100" t="s">
        <v>485</v>
      </c>
      <c r="D47" s="106" t="s">
        <v>73</v>
      </c>
      <c r="E47" s="112">
        <v>3.71</v>
      </c>
      <c r="F47" s="120"/>
      <c r="G47" s="121"/>
      <c r="H47" s="122">
        <f t="shared" si="27"/>
        <v>0</v>
      </c>
      <c r="I47" s="121"/>
      <c r="J47" s="121"/>
      <c r="K47" s="179">
        <f t="shared" si="28"/>
        <v>0</v>
      </c>
      <c r="L47" s="184">
        <f t="shared" si="29"/>
        <v>0</v>
      </c>
      <c r="M47" s="121">
        <f t="shared" si="30"/>
        <v>0</v>
      </c>
      <c r="N47" s="121">
        <f t="shared" si="31"/>
        <v>0</v>
      </c>
      <c r="O47" s="121">
        <f t="shared" si="32"/>
        <v>0</v>
      </c>
      <c r="P47" s="123">
        <f t="shared" si="33"/>
        <v>0</v>
      </c>
    </row>
    <row r="48" spans="1:16" ht="13.2" x14ac:dyDescent="0.2">
      <c r="A48" s="110">
        <v>3</v>
      </c>
      <c r="B48" s="106"/>
      <c r="C48" s="99" t="s">
        <v>373</v>
      </c>
      <c r="D48" s="106" t="s">
        <v>96</v>
      </c>
      <c r="E48" s="112">
        <f>E47*0.15</f>
        <v>0.55649999999999999</v>
      </c>
      <c r="F48" s="120"/>
      <c r="G48" s="121"/>
      <c r="H48" s="122"/>
      <c r="I48" s="121"/>
      <c r="J48" s="121"/>
      <c r="K48" s="179">
        <f t="shared" si="28"/>
        <v>0</v>
      </c>
      <c r="L48" s="184">
        <f t="shared" si="29"/>
        <v>0</v>
      </c>
      <c r="M48" s="121">
        <f t="shared" si="30"/>
        <v>0</v>
      </c>
      <c r="N48" s="121">
        <f t="shared" si="31"/>
        <v>0</v>
      </c>
      <c r="O48" s="121">
        <f t="shared" si="32"/>
        <v>0</v>
      </c>
      <c r="P48" s="123">
        <f t="shared" si="33"/>
        <v>0</v>
      </c>
    </row>
    <row r="49" spans="1:16" ht="26.4" x14ac:dyDescent="0.2">
      <c r="A49" s="110">
        <v>4</v>
      </c>
      <c r="B49" s="106"/>
      <c r="C49" s="99" t="s">
        <v>108</v>
      </c>
      <c r="D49" s="106" t="s">
        <v>109</v>
      </c>
      <c r="E49" s="112">
        <f>E47*5*1.2</f>
        <v>22.26</v>
      </c>
      <c r="F49" s="120"/>
      <c r="G49" s="121"/>
      <c r="H49" s="122"/>
      <c r="I49" s="121"/>
      <c r="J49" s="121"/>
      <c r="K49" s="179">
        <f t="shared" si="28"/>
        <v>0</v>
      </c>
      <c r="L49" s="184">
        <f t="shared" si="29"/>
        <v>0</v>
      </c>
      <c r="M49" s="121">
        <f t="shared" si="30"/>
        <v>0</v>
      </c>
      <c r="N49" s="121">
        <f t="shared" si="31"/>
        <v>0</v>
      </c>
      <c r="O49" s="121">
        <f t="shared" si="32"/>
        <v>0</v>
      </c>
      <c r="P49" s="123">
        <f t="shared" si="33"/>
        <v>0</v>
      </c>
    </row>
    <row r="50" spans="1:16" ht="13.2" x14ac:dyDescent="0.2">
      <c r="A50" s="110"/>
      <c r="B50" s="106"/>
      <c r="C50" s="174" t="s">
        <v>486</v>
      </c>
      <c r="D50" s="106"/>
      <c r="E50" s="112"/>
      <c r="F50" s="120"/>
      <c r="G50" s="121"/>
      <c r="H50" s="122"/>
      <c r="I50" s="121"/>
      <c r="J50" s="121"/>
      <c r="K50" s="179"/>
      <c r="L50" s="184"/>
      <c r="M50" s="121"/>
      <c r="N50" s="121"/>
      <c r="O50" s="121"/>
      <c r="P50" s="123"/>
    </row>
    <row r="51" spans="1:16" ht="13.2" x14ac:dyDescent="0.2">
      <c r="A51" s="113">
        <v>1</v>
      </c>
      <c r="B51" s="149" t="s">
        <v>60</v>
      </c>
      <c r="C51" s="100" t="s">
        <v>524</v>
      </c>
      <c r="D51" s="106" t="s">
        <v>62</v>
      </c>
      <c r="E51" s="112">
        <v>68.16</v>
      </c>
      <c r="F51" s="120"/>
      <c r="G51" s="121"/>
      <c r="H51" s="122">
        <f t="shared" ref="H51:H59" si="34">ROUND(F51*G51,2)</f>
        <v>0</v>
      </c>
      <c r="I51" s="121"/>
      <c r="J51" s="121"/>
      <c r="K51" s="179">
        <f t="shared" ref="K51" si="35">ROUND(H51+J51+I51,2)</f>
        <v>0</v>
      </c>
      <c r="L51" s="184">
        <f t="shared" ref="L51:L66" si="36">ROUND(E51*F51,2)</f>
        <v>0</v>
      </c>
      <c r="M51" s="121">
        <f t="shared" ref="M51:M66" si="37">ROUND(E51*H51,2)</f>
        <v>0</v>
      </c>
      <c r="N51" s="121">
        <f t="shared" ref="N51:N66" si="38">ROUND(E51*I51,2)</f>
        <v>0</v>
      </c>
      <c r="O51" s="121">
        <f t="shared" ref="O51" si="39">ROUND(E51*J51,2)</f>
        <v>0</v>
      </c>
      <c r="P51" s="123">
        <f t="shared" ref="P51:P66" si="40">ROUND(O51+N51+M51,2)</f>
        <v>0</v>
      </c>
    </row>
    <row r="52" spans="1:16" ht="39.6" x14ac:dyDescent="0.2">
      <c r="A52" s="110">
        <v>2</v>
      </c>
      <c r="B52" s="106" t="s">
        <v>60</v>
      </c>
      <c r="C52" s="100" t="s">
        <v>525</v>
      </c>
      <c r="D52" s="106" t="s">
        <v>73</v>
      </c>
      <c r="E52" s="112">
        <f>17.72*1.05</f>
        <v>18.605999999999998</v>
      </c>
      <c r="F52" s="120"/>
      <c r="G52" s="121"/>
      <c r="H52" s="122">
        <f t="shared" si="34"/>
        <v>0</v>
      </c>
      <c r="I52" s="121"/>
      <c r="J52" s="121"/>
      <c r="K52" s="179"/>
      <c r="L52" s="184">
        <f t="shared" si="36"/>
        <v>0</v>
      </c>
      <c r="M52" s="121">
        <f t="shared" si="37"/>
        <v>0</v>
      </c>
      <c r="N52" s="121">
        <f t="shared" si="38"/>
        <v>0</v>
      </c>
      <c r="O52" s="121">
        <f>ROUND(E52*J52,2)</f>
        <v>0</v>
      </c>
      <c r="P52" s="123">
        <f t="shared" si="40"/>
        <v>0</v>
      </c>
    </row>
    <row r="53" spans="1:16" ht="26.4" x14ac:dyDescent="0.2">
      <c r="A53" s="113">
        <v>3</v>
      </c>
      <c r="B53" s="149" t="s">
        <v>60</v>
      </c>
      <c r="C53" s="108" t="s">
        <v>487</v>
      </c>
      <c r="D53" s="135" t="s">
        <v>62</v>
      </c>
      <c r="E53" s="109">
        <v>15.1</v>
      </c>
      <c r="F53" s="120"/>
      <c r="G53" s="121"/>
      <c r="H53" s="122">
        <f t="shared" si="34"/>
        <v>0</v>
      </c>
      <c r="I53" s="121"/>
      <c r="J53" s="121"/>
      <c r="K53" s="179">
        <f t="shared" ref="K53" si="41">ROUND(H53+J53+I53,2)</f>
        <v>0</v>
      </c>
      <c r="L53" s="184">
        <f t="shared" si="36"/>
        <v>0</v>
      </c>
      <c r="M53" s="121">
        <f t="shared" si="37"/>
        <v>0</v>
      </c>
      <c r="N53" s="121">
        <f t="shared" si="38"/>
        <v>0</v>
      </c>
      <c r="O53" s="121">
        <f t="shared" ref="O53" si="42">ROUND(E53*J53,2)</f>
        <v>0</v>
      </c>
      <c r="P53" s="123">
        <f t="shared" si="40"/>
        <v>0</v>
      </c>
    </row>
    <row r="54" spans="1:16" ht="13.2" x14ac:dyDescent="0.2">
      <c r="A54" s="113">
        <v>4</v>
      </c>
      <c r="B54" s="106" t="s">
        <v>60</v>
      </c>
      <c r="C54" s="100" t="s">
        <v>488</v>
      </c>
      <c r="D54" s="106" t="s">
        <v>62</v>
      </c>
      <c r="E54" s="112">
        <v>13.8</v>
      </c>
      <c r="F54" s="120"/>
      <c r="G54" s="121"/>
      <c r="H54" s="122">
        <f t="shared" si="34"/>
        <v>0</v>
      </c>
      <c r="I54" s="121"/>
      <c r="J54" s="121"/>
      <c r="K54" s="179"/>
      <c r="L54" s="184">
        <f t="shared" si="36"/>
        <v>0</v>
      </c>
      <c r="M54" s="121">
        <f t="shared" si="37"/>
        <v>0</v>
      </c>
      <c r="N54" s="121">
        <f t="shared" si="38"/>
        <v>0</v>
      </c>
      <c r="O54" s="121">
        <f>ROUND(E54*J54,2)</f>
        <v>0</v>
      </c>
      <c r="P54" s="123">
        <f t="shared" si="40"/>
        <v>0</v>
      </c>
    </row>
    <row r="55" spans="1:16" ht="13.2" x14ac:dyDescent="0.2">
      <c r="A55" s="110">
        <v>5</v>
      </c>
      <c r="B55" s="106" t="s">
        <v>60</v>
      </c>
      <c r="C55" s="100" t="s">
        <v>489</v>
      </c>
      <c r="D55" s="106" t="s">
        <v>62</v>
      </c>
      <c r="E55" s="112">
        <v>53.93</v>
      </c>
      <c r="F55" s="120"/>
      <c r="G55" s="121"/>
      <c r="H55" s="122">
        <f t="shared" si="34"/>
        <v>0</v>
      </c>
      <c r="I55" s="121"/>
      <c r="J55" s="121"/>
      <c r="K55" s="179"/>
      <c r="L55" s="184">
        <f t="shared" si="36"/>
        <v>0</v>
      </c>
      <c r="M55" s="121">
        <f t="shared" si="37"/>
        <v>0</v>
      </c>
      <c r="N55" s="121">
        <f t="shared" si="38"/>
        <v>0</v>
      </c>
      <c r="O55" s="121">
        <f>ROUND(E55*J55,2)</f>
        <v>0</v>
      </c>
      <c r="P55" s="123">
        <f t="shared" si="40"/>
        <v>0</v>
      </c>
    </row>
    <row r="56" spans="1:16" ht="26.4" x14ac:dyDescent="0.2">
      <c r="A56" s="113">
        <v>6</v>
      </c>
      <c r="B56" s="106" t="s">
        <v>60</v>
      </c>
      <c r="C56" s="100" t="s">
        <v>490</v>
      </c>
      <c r="D56" s="106" t="s">
        <v>62</v>
      </c>
      <c r="E56" s="112">
        <v>14.81</v>
      </c>
      <c r="F56" s="120"/>
      <c r="G56" s="121"/>
      <c r="H56" s="122">
        <f t="shared" si="34"/>
        <v>0</v>
      </c>
      <c r="I56" s="121"/>
      <c r="J56" s="121"/>
      <c r="K56" s="179">
        <f t="shared" ref="K56:K66" si="43">ROUND(H56+J56+I56,2)</f>
        <v>0</v>
      </c>
      <c r="L56" s="184">
        <f t="shared" si="36"/>
        <v>0</v>
      </c>
      <c r="M56" s="121">
        <f t="shared" si="37"/>
        <v>0</v>
      </c>
      <c r="N56" s="121">
        <f t="shared" si="38"/>
        <v>0</v>
      </c>
      <c r="O56" s="121">
        <f t="shared" ref="O56:O66" si="44">ROUND(E56*J56,2)</f>
        <v>0</v>
      </c>
      <c r="P56" s="123">
        <f t="shared" si="40"/>
        <v>0</v>
      </c>
    </row>
    <row r="57" spans="1:16" ht="13.2" x14ac:dyDescent="0.2">
      <c r="A57" s="113">
        <v>7</v>
      </c>
      <c r="B57" s="106" t="s">
        <v>60</v>
      </c>
      <c r="C57" s="100" t="s">
        <v>491</v>
      </c>
      <c r="D57" s="106" t="s">
        <v>62</v>
      </c>
      <c r="E57" s="112">
        <v>40.380000000000003</v>
      </c>
      <c r="F57" s="120"/>
      <c r="G57" s="121"/>
      <c r="H57" s="122">
        <f t="shared" si="34"/>
        <v>0</v>
      </c>
      <c r="I57" s="121"/>
      <c r="J57" s="121"/>
      <c r="K57" s="179">
        <f t="shared" si="43"/>
        <v>0</v>
      </c>
      <c r="L57" s="184">
        <f t="shared" si="36"/>
        <v>0</v>
      </c>
      <c r="M57" s="121">
        <f t="shared" si="37"/>
        <v>0</v>
      </c>
      <c r="N57" s="121">
        <f t="shared" si="38"/>
        <v>0</v>
      </c>
      <c r="O57" s="121">
        <f t="shared" si="44"/>
        <v>0</v>
      </c>
      <c r="P57" s="123">
        <f t="shared" si="40"/>
        <v>0</v>
      </c>
    </row>
    <row r="58" spans="1:16" ht="13.2" x14ac:dyDescent="0.2">
      <c r="A58" s="110">
        <v>8</v>
      </c>
      <c r="B58" s="106" t="s">
        <v>60</v>
      </c>
      <c r="C58" s="100" t="s">
        <v>103</v>
      </c>
      <c r="D58" s="106" t="s">
        <v>68</v>
      </c>
      <c r="E58" s="112">
        <v>1</v>
      </c>
      <c r="F58" s="120"/>
      <c r="G58" s="121"/>
      <c r="H58" s="122">
        <f t="shared" si="34"/>
        <v>0</v>
      </c>
      <c r="I58" s="121"/>
      <c r="J58" s="121"/>
      <c r="K58" s="179">
        <f t="shared" si="43"/>
        <v>0</v>
      </c>
      <c r="L58" s="184">
        <f t="shared" si="36"/>
        <v>0</v>
      </c>
      <c r="M58" s="121">
        <f t="shared" si="37"/>
        <v>0</v>
      </c>
      <c r="N58" s="121">
        <f t="shared" si="38"/>
        <v>0</v>
      </c>
      <c r="O58" s="121">
        <f t="shared" si="44"/>
        <v>0</v>
      </c>
      <c r="P58" s="123">
        <f t="shared" si="40"/>
        <v>0</v>
      </c>
    </row>
    <row r="59" spans="1:16" ht="13.2" x14ac:dyDescent="0.2">
      <c r="A59" s="113">
        <v>9</v>
      </c>
      <c r="B59" s="106" t="s">
        <v>60</v>
      </c>
      <c r="C59" s="100" t="s">
        <v>112</v>
      </c>
      <c r="D59" s="106" t="s">
        <v>73</v>
      </c>
      <c r="E59" s="112">
        <f>E52</f>
        <v>18.605999999999998</v>
      </c>
      <c r="F59" s="120"/>
      <c r="G59" s="121"/>
      <c r="H59" s="122">
        <f t="shared" si="34"/>
        <v>0</v>
      </c>
      <c r="I59" s="121"/>
      <c r="J59" s="121"/>
      <c r="K59" s="179">
        <f t="shared" si="43"/>
        <v>0</v>
      </c>
      <c r="L59" s="184">
        <f t="shared" si="36"/>
        <v>0</v>
      </c>
      <c r="M59" s="121">
        <f t="shared" si="37"/>
        <v>0</v>
      </c>
      <c r="N59" s="121">
        <f t="shared" si="38"/>
        <v>0</v>
      </c>
      <c r="O59" s="121">
        <f t="shared" si="44"/>
        <v>0</v>
      </c>
      <c r="P59" s="123">
        <f t="shared" si="40"/>
        <v>0</v>
      </c>
    </row>
    <row r="60" spans="1:16" ht="12.75" customHeight="1" x14ac:dyDescent="0.2">
      <c r="A60" s="113">
        <v>10</v>
      </c>
      <c r="B60" s="106"/>
      <c r="C60" s="99" t="s">
        <v>113</v>
      </c>
      <c r="D60" s="106" t="s">
        <v>96</v>
      </c>
      <c r="E60" s="112">
        <f>E59*0.12</f>
        <v>2.2327199999999996</v>
      </c>
      <c r="F60" s="120"/>
      <c r="G60" s="121"/>
      <c r="H60" s="122"/>
      <c r="I60" s="121"/>
      <c r="J60" s="121"/>
      <c r="K60" s="179">
        <f t="shared" si="43"/>
        <v>0</v>
      </c>
      <c r="L60" s="184">
        <f t="shared" si="36"/>
        <v>0</v>
      </c>
      <c r="M60" s="121">
        <f t="shared" si="37"/>
        <v>0</v>
      </c>
      <c r="N60" s="121">
        <f t="shared" si="38"/>
        <v>0</v>
      </c>
      <c r="O60" s="121">
        <f t="shared" si="44"/>
        <v>0</v>
      </c>
      <c r="P60" s="123">
        <f t="shared" si="40"/>
        <v>0</v>
      </c>
    </row>
    <row r="61" spans="1:16" ht="13.2" x14ac:dyDescent="0.2">
      <c r="A61" s="110">
        <v>11</v>
      </c>
      <c r="B61" s="106"/>
      <c r="C61" s="99" t="s">
        <v>376</v>
      </c>
      <c r="D61" s="106" t="s">
        <v>99</v>
      </c>
      <c r="E61" s="112">
        <f>E59*4.5</f>
        <v>83.72699999999999</v>
      </c>
      <c r="F61" s="120"/>
      <c r="G61" s="121"/>
      <c r="H61" s="122"/>
      <c r="I61" s="121"/>
      <c r="J61" s="121"/>
      <c r="K61" s="179">
        <f t="shared" si="43"/>
        <v>0</v>
      </c>
      <c r="L61" s="184">
        <f t="shared" si="36"/>
        <v>0</v>
      </c>
      <c r="M61" s="121">
        <f t="shared" si="37"/>
        <v>0</v>
      </c>
      <c r="N61" s="121">
        <f t="shared" si="38"/>
        <v>0</v>
      </c>
      <c r="O61" s="121">
        <f t="shared" si="44"/>
        <v>0</v>
      </c>
      <c r="P61" s="123">
        <f t="shared" si="40"/>
        <v>0</v>
      </c>
    </row>
    <row r="62" spans="1:16" ht="13.2" x14ac:dyDescent="0.2">
      <c r="A62" s="113">
        <v>12</v>
      </c>
      <c r="B62" s="106"/>
      <c r="C62" s="99" t="s">
        <v>101</v>
      </c>
      <c r="D62" s="106" t="s">
        <v>73</v>
      </c>
      <c r="E62" s="112">
        <f>E59*1.2</f>
        <v>22.327199999999998</v>
      </c>
      <c r="F62" s="120"/>
      <c r="G62" s="121"/>
      <c r="H62" s="122"/>
      <c r="I62" s="121"/>
      <c r="J62" s="121"/>
      <c r="K62" s="179">
        <f t="shared" si="43"/>
        <v>0</v>
      </c>
      <c r="L62" s="184">
        <f t="shared" si="36"/>
        <v>0</v>
      </c>
      <c r="M62" s="121">
        <f t="shared" si="37"/>
        <v>0</v>
      </c>
      <c r="N62" s="121">
        <f t="shared" si="38"/>
        <v>0</v>
      </c>
      <c r="O62" s="121">
        <f t="shared" si="44"/>
        <v>0</v>
      </c>
      <c r="P62" s="123">
        <f t="shared" si="40"/>
        <v>0</v>
      </c>
    </row>
    <row r="63" spans="1:16" ht="13.2" x14ac:dyDescent="0.2">
      <c r="A63" s="113">
        <v>13</v>
      </c>
      <c r="B63" s="106"/>
      <c r="C63" s="99" t="s">
        <v>115</v>
      </c>
      <c r="D63" s="106" t="s">
        <v>62</v>
      </c>
      <c r="E63" s="112">
        <f>1.1*1.1</f>
        <v>1.2100000000000002</v>
      </c>
      <c r="F63" s="120"/>
      <c r="G63" s="121"/>
      <c r="H63" s="122"/>
      <c r="I63" s="121"/>
      <c r="J63" s="121"/>
      <c r="K63" s="179">
        <f t="shared" si="43"/>
        <v>0</v>
      </c>
      <c r="L63" s="184">
        <f t="shared" si="36"/>
        <v>0</v>
      </c>
      <c r="M63" s="121">
        <f t="shared" si="37"/>
        <v>0</v>
      </c>
      <c r="N63" s="121">
        <f t="shared" si="38"/>
        <v>0</v>
      </c>
      <c r="O63" s="121">
        <f t="shared" si="44"/>
        <v>0</v>
      </c>
      <c r="P63" s="123">
        <f t="shared" si="40"/>
        <v>0</v>
      </c>
    </row>
    <row r="64" spans="1:16" ht="13.2" x14ac:dyDescent="0.2">
      <c r="A64" s="110">
        <v>14</v>
      </c>
      <c r="B64" s="106" t="s">
        <v>60</v>
      </c>
      <c r="C64" s="100" t="s">
        <v>117</v>
      </c>
      <c r="D64" s="106" t="s">
        <v>73</v>
      </c>
      <c r="E64" s="112">
        <f>(E57+E56)*0.25</f>
        <v>13.797500000000001</v>
      </c>
      <c r="F64" s="120"/>
      <c r="G64" s="121"/>
      <c r="H64" s="122">
        <f t="shared" ref="H64" si="45">ROUND(F64*G64,2)</f>
        <v>0</v>
      </c>
      <c r="I64" s="121"/>
      <c r="J64" s="121"/>
      <c r="K64" s="179">
        <f t="shared" si="43"/>
        <v>0</v>
      </c>
      <c r="L64" s="184">
        <f t="shared" si="36"/>
        <v>0</v>
      </c>
      <c r="M64" s="121">
        <f t="shared" si="37"/>
        <v>0</v>
      </c>
      <c r="N64" s="121">
        <f t="shared" si="38"/>
        <v>0</v>
      </c>
      <c r="O64" s="121">
        <f t="shared" si="44"/>
        <v>0</v>
      </c>
      <c r="P64" s="123">
        <f t="shared" si="40"/>
        <v>0</v>
      </c>
    </row>
    <row r="65" spans="1:16" ht="26.4" x14ac:dyDescent="0.2">
      <c r="A65" s="113">
        <v>15</v>
      </c>
      <c r="B65" s="106"/>
      <c r="C65" s="99" t="s">
        <v>294</v>
      </c>
      <c r="D65" s="106" t="s">
        <v>96</v>
      </c>
      <c r="E65" s="112">
        <f>E64*0.15</f>
        <v>2.0696250000000003</v>
      </c>
      <c r="F65" s="120"/>
      <c r="G65" s="121"/>
      <c r="H65" s="122"/>
      <c r="I65" s="121"/>
      <c r="J65" s="121"/>
      <c r="K65" s="179">
        <f t="shared" si="43"/>
        <v>0</v>
      </c>
      <c r="L65" s="184">
        <f t="shared" si="36"/>
        <v>0</v>
      </c>
      <c r="M65" s="121">
        <f t="shared" si="37"/>
        <v>0</v>
      </c>
      <c r="N65" s="121">
        <f t="shared" si="38"/>
        <v>0</v>
      </c>
      <c r="O65" s="121">
        <f t="shared" si="44"/>
        <v>0</v>
      </c>
      <c r="P65" s="123">
        <f t="shared" si="40"/>
        <v>0</v>
      </c>
    </row>
    <row r="66" spans="1:16" ht="26.4" x14ac:dyDescent="0.2">
      <c r="A66" s="113">
        <v>16</v>
      </c>
      <c r="B66" s="106"/>
      <c r="C66" s="99" t="s">
        <v>405</v>
      </c>
      <c r="D66" s="106" t="s">
        <v>99</v>
      </c>
      <c r="E66" s="112">
        <f>E64*4</f>
        <v>55.190000000000005</v>
      </c>
      <c r="F66" s="120"/>
      <c r="G66" s="121"/>
      <c r="H66" s="122"/>
      <c r="I66" s="121"/>
      <c r="J66" s="121"/>
      <c r="K66" s="179">
        <f t="shared" si="43"/>
        <v>0</v>
      </c>
      <c r="L66" s="184">
        <f t="shared" si="36"/>
        <v>0</v>
      </c>
      <c r="M66" s="121">
        <f t="shared" si="37"/>
        <v>0</v>
      </c>
      <c r="N66" s="121">
        <f t="shared" si="38"/>
        <v>0</v>
      </c>
      <c r="O66" s="121">
        <f t="shared" si="44"/>
        <v>0</v>
      </c>
      <c r="P66" s="123">
        <f t="shared" si="40"/>
        <v>0</v>
      </c>
    </row>
    <row r="67" spans="1:16" ht="26.4" x14ac:dyDescent="0.2">
      <c r="A67" s="110"/>
      <c r="B67" s="106"/>
      <c r="C67" s="174" t="s">
        <v>492</v>
      </c>
      <c r="D67" s="106"/>
      <c r="E67" s="112"/>
      <c r="F67" s="120"/>
      <c r="G67" s="121"/>
      <c r="H67" s="122"/>
      <c r="I67" s="121"/>
      <c r="J67" s="121"/>
      <c r="K67" s="179"/>
      <c r="L67" s="184"/>
      <c r="M67" s="121"/>
      <c r="N67" s="121"/>
      <c r="O67" s="121"/>
      <c r="P67" s="123"/>
    </row>
    <row r="68" spans="1:16" ht="13.2" x14ac:dyDescent="0.2">
      <c r="A68" s="113">
        <v>1</v>
      </c>
      <c r="B68" s="149" t="s">
        <v>60</v>
      </c>
      <c r="C68" s="100" t="s">
        <v>493</v>
      </c>
      <c r="D68" s="106" t="s">
        <v>62</v>
      </c>
      <c r="E68" s="112">
        <v>9.2799999999999994</v>
      </c>
      <c r="F68" s="120"/>
      <c r="G68" s="121"/>
      <c r="H68" s="122">
        <f t="shared" ref="H68:H75" si="46">ROUND(F68*G68,2)</f>
        <v>0</v>
      </c>
      <c r="I68" s="121"/>
      <c r="J68" s="121"/>
      <c r="K68" s="179">
        <f t="shared" ref="K68:K69" si="47">ROUND(H68+J68+I68,2)</f>
        <v>0</v>
      </c>
      <c r="L68" s="184">
        <f t="shared" ref="L68:L75" si="48">ROUND(E68*F68,2)</f>
        <v>0</v>
      </c>
      <c r="M68" s="121">
        <f t="shared" ref="M68:M75" si="49">ROUND(E68*H68,2)</f>
        <v>0</v>
      </c>
      <c r="N68" s="121">
        <f t="shared" ref="N68:N75" si="50">ROUND(E68*I68,2)</f>
        <v>0</v>
      </c>
      <c r="O68" s="121">
        <f t="shared" ref="O68:O69" si="51">ROUND(E68*J68,2)</f>
        <v>0</v>
      </c>
      <c r="P68" s="123">
        <f t="shared" ref="P68:P75" si="52">ROUND(O68+N68+M68,2)</f>
        <v>0</v>
      </c>
    </row>
    <row r="69" spans="1:16" ht="13.2" x14ac:dyDescent="0.2">
      <c r="A69" s="110">
        <v>2</v>
      </c>
      <c r="B69" s="106" t="s">
        <v>60</v>
      </c>
      <c r="C69" s="100" t="s">
        <v>494</v>
      </c>
      <c r="D69" s="106" t="s">
        <v>73</v>
      </c>
      <c r="E69" s="112">
        <v>2.1800000000000002</v>
      </c>
      <c r="F69" s="120"/>
      <c r="G69" s="121"/>
      <c r="H69" s="122">
        <f t="shared" si="46"/>
        <v>0</v>
      </c>
      <c r="I69" s="121"/>
      <c r="J69" s="121"/>
      <c r="K69" s="179">
        <f t="shared" si="47"/>
        <v>0</v>
      </c>
      <c r="L69" s="184">
        <f t="shared" si="48"/>
        <v>0</v>
      </c>
      <c r="M69" s="121">
        <f t="shared" si="49"/>
        <v>0</v>
      </c>
      <c r="N69" s="121">
        <f t="shared" si="50"/>
        <v>0</v>
      </c>
      <c r="O69" s="121">
        <f t="shared" si="51"/>
        <v>0</v>
      </c>
      <c r="P69" s="123">
        <f t="shared" si="52"/>
        <v>0</v>
      </c>
    </row>
    <row r="70" spans="1:16" ht="13.2" x14ac:dyDescent="0.2">
      <c r="A70" s="110">
        <v>3</v>
      </c>
      <c r="B70" s="106" t="s">
        <v>60</v>
      </c>
      <c r="C70" s="100" t="s">
        <v>495</v>
      </c>
      <c r="D70" s="106" t="s">
        <v>62</v>
      </c>
      <c r="E70" s="112">
        <v>7.28</v>
      </c>
      <c r="F70" s="120"/>
      <c r="G70" s="121"/>
      <c r="H70" s="122">
        <f t="shared" si="46"/>
        <v>0</v>
      </c>
      <c r="I70" s="121"/>
      <c r="J70" s="121"/>
      <c r="K70" s="179"/>
      <c r="L70" s="184">
        <f t="shared" si="48"/>
        <v>0</v>
      </c>
      <c r="M70" s="121">
        <f t="shared" si="49"/>
        <v>0</v>
      </c>
      <c r="N70" s="121">
        <f t="shared" si="50"/>
        <v>0</v>
      </c>
      <c r="O70" s="121">
        <f>ROUND(E70*J70,2)</f>
        <v>0</v>
      </c>
      <c r="P70" s="123">
        <f t="shared" si="52"/>
        <v>0</v>
      </c>
    </row>
    <row r="71" spans="1:16" ht="13.2" x14ac:dyDescent="0.2">
      <c r="A71" s="110">
        <v>4</v>
      </c>
      <c r="B71" s="106" t="s">
        <v>60</v>
      </c>
      <c r="C71" s="100" t="s">
        <v>128</v>
      </c>
      <c r="D71" s="106" t="s">
        <v>73</v>
      </c>
      <c r="E71" s="112">
        <v>2.1800000000000002</v>
      </c>
      <c r="F71" s="120"/>
      <c r="G71" s="121"/>
      <c r="H71" s="122">
        <f t="shared" si="46"/>
        <v>0</v>
      </c>
      <c r="I71" s="121"/>
      <c r="J71" s="121"/>
      <c r="K71" s="179">
        <f t="shared" ref="K71:K75" si="53">ROUND(H71+J71+I71,2)</f>
        <v>0</v>
      </c>
      <c r="L71" s="184">
        <f t="shared" si="48"/>
        <v>0</v>
      </c>
      <c r="M71" s="121">
        <f t="shared" si="49"/>
        <v>0</v>
      </c>
      <c r="N71" s="121">
        <f t="shared" si="50"/>
        <v>0</v>
      </c>
      <c r="O71" s="121">
        <f t="shared" ref="O71:O75" si="54">ROUND(E71*J71,2)</f>
        <v>0</v>
      </c>
      <c r="P71" s="123">
        <f t="shared" si="52"/>
        <v>0</v>
      </c>
    </row>
    <row r="72" spans="1:16" ht="13.2" x14ac:dyDescent="0.2">
      <c r="A72" s="113">
        <v>5</v>
      </c>
      <c r="B72" s="106" t="s">
        <v>60</v>
      </c>
      <c r="C72" s="100" t="s">
        <v>528</v>
      </c>
      <c r="D72" s="106" t="s">
        <v>73</v>
      </c>
      <c r="E72" s="112">
        <f>E71</f>
        <v>2.1800000000000002</v>
      </c>
      <c r="F72" s="120"/>
      <c r="G72" s="121"/>
      <c r="H72" s="122">
        <f t="shared" si="46"/>
        <v>0</v>
      </c>
      <c r="I72" s="121"/>
      <c r="J72" s="121"/>
      <c r="K72" s="179">
        <f t="shared" si="53"/>
        <v>0</v>
      </c>
      <c r="L72" s="184">
        <f t="shared" si="48"/>
        <v>0</v>
      </c>
      <c r="M72" s="121">
        <f t="shared" si="49"/>
        <v>0</v>
      </c>
      <c r="N72" s="121">
        <f t="shared" si="50"/>
        <v>0</v>
      </c>
      <c r="O72" s="121">
        <f t="shared" si="54"/>
        <v>0</v>
      </c>
      <c r="P72" s="123">
        <f t="shared" si="52"/>
        <v>0</v>
      </c>
    </row>
    <row r="73" spans="1:16" ht="13.2" x14ac:dyDescent="0.2">
      <c r="A73" s="110">
        <v>6</v>
      </c>
      <c r="B73" s="106"/>
      <c r="C73" s="99" t="s">
        <v>262</v>
      </c>
      <c r="D73" s="106" t="s">
        <v>96</v>
      </c>
      <c r="E73" s="112">
        <f>E72*0.17</f>
        <v>0.37060000000000004</v>
      </c>
      <c r="F73" s="120"/>
      <c r="G73" s="121"/>
      <c r="H73" s="122"/>
      <c r="I73" s="121"/>
      <c r="J73" s="121"/>
      <c r="K73" s="179">
        <f t="shared" si="53"/>
        <v>0</v>
      </c>
      <c r="L73" s="184">
        <f t="shared" si="48"/>
        <v>0</v>
      </c>
      <c r="M73" s="121">
        <f t="shared" si="49"/>
        <v>0</v>
      </c>
      <c r="N73" s="121">
        <f t="shared" si="50"/>
        <v>0</v>
      </c>
      <c r="O73" s="121">
        <f t="shared" si="54"/>
        <v>0</v>
      </c>
      <c r="P73" s="123">
        <f t="shared" si="52"/>
        <v>0</v>
      </c>
    </row>
    <row r="74" spans="1:16" ht="13.2" x14ac:dyDescent="0.2">
      <c r="A74" s="110">
        <v>7</v>
      </c>
      <c r="B74" s="106"/>
      <c r="C74" s="99" t="s">
        <v>581</v>
      </c>
      <c r="D74" s="106" t="s">
        <v>96</v>
      </c>
      <c r="E74" s="152">
        <f>E72*0.12*2*1.05</f>
        <v>0.54936000000000007</v>
      </c>
      <c r="F74" s="120"/>
      <c r="G74" s="121"/>
      <c r="H74" s="122"/>
      <c r="I74" s="121"/>
      <c r="J74" s="121"/>
      <c r="K74" s="179">
        <f t="shared" si="53"/>
        <v>0</v>
      </c>
      <c r="L74" s="184">
        <f t="shared" si="48"/>
        <v>0</v>
      </c>
      <c r="M74" s="121">
        <f t="shared" si="49"/>
        <v>0</v>
      </c>
      <c r="N74" s="121">
        <f t="shared" si="50"/>
        <v>0</v>
      </c>
      <c r="O74" s="121">
        <f t="shared" si="54"/>
        <v>0</v>
      </c>
      <c r="P74" s="123">
        <f t="shared" si="52"/>
        <v>0</v>
      </c>
    </row>
    <row r="75" spans="1:16" ht="26.4" x14ac:dyDescent="0.2">
      <c r="A75" s="110">
        <v>8</v>
      </c>
      <c r="B75" s="106" t="s">
        <v>60</v>
      </c>
      <c r="C75" s="100" t="s">
        <v>496</v>
      </c>
      <c r="D75" s="106" t="s">
        <v>62</v>
      </c>
      <c r="E75" s="112">
        <v>2</v>
      </c>
      <c r="F75" s="120"/>
      <c r="G75" s="121"/>
      <c r="H75" s="122">
        <f t="shared" si="46"/>
        <v>0</v>
      </c>
      <c r="I75" s="121"/>
      <c r="J75" s="121"/>
      <c r="K75" s="179">
        <f t="shared" si="53"/>
        <v>0</v>
      </c>
      <c r="L75" s="184">
        <f t="shared" si="48"/>
        <v>0</v>
      </c>
      <c r="M75" s="121">
        <f t="shared" si="49"/>
        <v>0</v>
      </c>
      <c r="N75" s="121">
        <f t="shared" si="50"/>
        <v>0</v>
      </c>
      <c r="O75" s="121">
        <f t="shared" si="54"/>
        <v>0</v>
      </c>
      <c r="P75" s="123">
        <f t="shared" si="52"/>
        <v>0</v>
      </c>
    </row>
    <row r="76" spans="1:16" ht="52.8" x14ac:dyDescent="0.2">
      <c r="A76" s="163"/>
      <c r="B76" s="164"/>
      <c r="C76" s="165" t="s">
        <v>527</v>
      </c>
      <c r="D76" s="166"/>
      <c r="E76" s="167"/>
      <c r="F76" s="168"/>
      <c r="G76" s="169"/>
      <c r="H76" s="169"/>
      <c r="I76" s="169"/>
      <c r="J76" s="169"/>
      <c r="K76" s="194"/>
      <c r="L76" s="195"/>
      <c r="M76" s="172"/>
      <c r="N76" s="172"/>
      <c r="O76" s="172"/>
      <c r="P76" s="173"/>
    </row>
    <row r="77" spans="1:16" ht="39.6" x14ac:dyDescent="0.2">
      <c r="A77" s="110">
        <v>1</v>
      </c>
      <c r="B77" s="106" t="s">
        <v>60</v>
      </c>
      <c r="C77" s="100" t="s">
        <v>497</v>
      </c>
      <c r="D77" s="106" t="s">
        <v>62</v>
      </c>
      <c r="E77" s="112">
        <v>214.66</v>
      </c>
      <c r="F77" s="120"/>
      <c r="G77" s="121"/>
      <c r="H77" s="122">
        <f t="shared" ref="H77:H78" si="55">ROUND(F77*G77,2)</f>
        <v>0</v>
      </c>
      <c r="I77" s="121"/>
      <c r="J77" s="121"/>
      <c r="K77" s="179">
        <f t="shared" ref="K77:K80" si="56">ROUND(H77+J77+I77,2)</f>
        <v>0</v>
      </c>
      <c r="L77" s="184">
        <f t="shared" ref="L77:L80" si="57">ROUND(E77*F77,2)</f>
        <v>0</v>
      </c>
      <c r="M77" s="121">
        <f t="shared" ref="M77:M80" si="58">ROUND(E77*H77,2)</f>
        <v>0</v>
      </c>
      <c r="N77" s="121">
        <f t="shared" ref="N77:N80" si="59">ROUND(E77*I77,2)</f>
        <v>0</v>
      </c>
      <c r="O77" s="121">
        <f t="shared" ref="O77:O80" si="60">ROUND(E77*J77,2)</f>
        <v>0</v>
      </c>
      <c r="P77" s="123">
        <f t="shared" ref="P77:P80" si="61">ROUND(O77+N77+M77,2)</f>
        <v>0</v>
      </c>
    </row>
    <row r="78" spans="1:16" ht="26.4" x14ac:dyDescent="0.2">
      <c r="A78" s="110">
        <v>2</v>
      </c>
      <c r="B78" s="106" t="s">
        <v>60</v>
      </c>
      <c r="C78" s="100" t="s">
        <v>498</v>
      </c>
      <c r="D78" s="106" t="s">
        <v>73</v>
      </c>
      <c r="E78" s="112">
        <v>63.95</v>
      </c>
      <c r="F78" s="120"/>
      <c r="G78" s="121"/>
      <c r="H78" s="122">
        <f t="shared" si="55"/>
        <v>0</v>
      </c>
      <c r="I78" s="121"/>
      <c r="J78" s="121"/>
      <c r="K78" s="179">
        <f t="shared" si="56"/>
        <v>0</v>
      </c>
      <c r="L78" s="184">
        <f t="shared" si="57"/>
        <v>0</v>
      </c>
      <c r="M78" s="121">
        <f t="shared" si="58"/>
        <v>0</v>
      </c>
      <c r="N78" s="121">
        <f t="shared" si="59"/>
        <v>0</v>
      </c>
      <c r="O78" s="121">
        <f t="shared" si="60"/>
        <v>0</v>
      </c>
      <c r="P78" s="123">
        <f t="shared" si="61"/>
        <v>0</v>
      </c>
    </row>
    <row r="79" spans="1:16" ht="13.2" x14ac:dyDescent="0.2">
      <c r="A79" s="110">
        <v>3</v>
      </c>
      <c r="B79" s="106"/>
      <c r="C79" s="99" t="s">
        <v>373</v>
      </c>
      <c r="D79" s="106" t="s">
        <v>96</v>
      </c>
      <c r="E79" s="112">
        <f>E78*0.15</f>
        <v>9.5924999999999994</v>
      </c>
      <c r="F79" s="120"/>
      <c r="G79" s="121"/>
      <c r="H79" s="122"/>
      <c r="I79" s="121"/>
      <c r="J79" s="121"/>
      <c r="K79" s="179">
        <f t="shared" si="56"/>
        <v>0</v>
      </c>
      <c r="L79" s="184">
        <f t="shared" si="57"/>
        <v>0</v>
      </c>
      <c r="M79" s="121">
        <f t="shared" si="58"/>
        <v>0</v>
      </c>
      <c r="N79" s="121">
        <f t="shared" si="59"/>
        <v>0</v>
      </c>
      <c r="O79" s="121">
        <f t="shared" si="60"/>
        <v>0</v>
      </c>
      <c r="P79" s="123">
        <f t="shared" si="61"/>
        <v>0</v>
      </c>
    </row>
    <row r="80" spans="1:16" ht="26.4" x14ac:dyDescent="0.2">
      <c r="A80" s="110">
        <v>4</v>
      </c>
      <c r="B80" s="106"/>
      <c r="C80" s="99" t="s">
        <v>108</v>
      </c>
      <c r="D80" s="106" t="s">
        <v>109</v>
      </c>
      <c r="E80" s="112">
        <f>E78*5*1.2</f>
        <v>383.7</v>
      </c>
      <c r="F80" s="120"/>
      <c r="G80" s="121"/>
      <c r="H80" s="122"/>
      <c r="I80" s="121"/>
      <c r="J80" s="121"/>
      <c r="K80" s="179">
        <f t="shared" si="56"/>
        <v>0</v>
      </c>
      <c r="L80" s="184">
        <f t="shared" si="57"/>
        <v>0</v>
      </c>
      <c r="M80" s="121">
        <f t="shared" si="58"/>
        <v>0</v>
      </c>
      <c r="N80" s="121">
        <f t="shared" si="59"/>
        <v>0</v>
      </c>
      <c r="O80" s="121">
        <f t="shared" si="60"/>
        <v>0</v>
      </c>
      <c r="P80" s="123">
        <f t="shared" si="61"/>
        <v>0</v>
      </c>
    </row>
    <row r="81" spans="1:16" ht="13.2" x14ac:dyDescent="0.2">
      <c r="A81" s="110"/>
      <c r="B81" s="106"/>
      <c r="C81" s="174" t="s">
        <v>486</v>
      </c>
      <c r="D81" s="106"/>
      <c r="E81" s="112"/>
      <c r="F81" s="120"/>
      <c r="G81" s="121"/>
      <c r="H81" s="122"/>
      <c r="I81" s="121"/>
      <c r="J81" s="121"/>
      <c r="K81" s="179"/>
      <c r="L81" s="184"/>
      <c r="M81" s="121"/>
      <c r="N81" s="121"/>
      <c r="O81" s="121"/>
      <c r="P81" s="123"/>
    </row>
    <row r="82" spans="1:16" ht="13.2" x14ac:dyDescent="0.2">
      <c r="A82" s="113">
        <v>1</v>
      </c>
      <c r="B82" s="149" t="s">
        <v>60</v>
      </c>
      <c r="C82" s="100" t="s">
        <v>524</v>
      </c>
      <c r="D82" s="106" t="s">
        <v>62</v>
      </c>
      <c r="E82" s="112">
        <v>477.32</v>
      </c>
      <c r="F82" s="120"/>
      <c r="G82" s="121"/>
      <c r="H82" s="122">
        <f t="shared" ref="H82:H90" si="62">ROUND(F82*G82,2)</f>
        <v>0</v>
      </c>
      <c r="I82" s="121"/>
      <c r="J82" s="121"/>
      <c r="K82" s="179">
        <f t="shared" ref="K82" si="63">ROUND(H82+J82+I82,2)</f>
        <v>0</v>
      </c>
      <c r="L82" s="184">
        <f t="shared" ref="L82:L97" si="64">ROUND(E82*F82,2)</f>
        <v>0</v>
      </c>
      <c r="M82" s="121">
        <f t="shared" ref="M82:M97" si="65">ROUND(E82*H82,2)</f>
        <v>0</v>
      </c>
      <c r="N82" s="121">
        <f t="shared" ref="N82:N97" si="66">ROUND(E82*I82,2)</f>
        <v>0</v>
      </c>
      <c r="O82" s="121">
        <f t="shared" ref="O82" si="67">ROUND(E82*J82,2)</f>
        <v>0</v>
      </c>
      <c r="P82" s="123">
        <f t="shared" ref="P82:P97" si="68">ROUND(O82+N82+M82,2)</f>
        <v>0</v>
      </c>
    </row>
    <row r="83" spans="1:16" ht="39.6" x14ac:dyDescent="0.2">
      <c r="A83" s="110">
        <v>2</v>
      </c>
      <c r="B83" s="106" t="s">
        <v>60</v>
      </c>
      <c r="C83" s="100" t="s">
        <v>525</v>
      </c>
      <c r="D83" s="106" t="s">
        <v>73</v>
      </c>
      <c r="E83" s="112">
        <f>111.91*1.05</f>
        <v>117.5055</v>
      </c>
      <c r="F83" s="120"/>
      <c r="G83" s="121"/>
      <c r="H83" s="122">
        <f t="shared" si="62"/>
        <v>0</v>
      </c>
      <c r="I83" s="121"/>
      <c r="J83" s="121"/>
      <c r="K83" s="179"/>
      <c r="L83" s="184">
        <f t="shared" si="64"/>
        <v>0</v>
      </c>
      <c r="M83" s="121">
        <f t="shared" si="65"/>
        <v>0</v>
      </c>
      <c r="N83" s="121">
        <f t="shared" si="66"/>
        <v>0</v>
      </c>
      <c r="O83" s="121">
        <f>ROUND(E83*J83,2)</f>
        <v>0</v>
      </c>
      <c r="P83" s="123">
        <f t="shared" si="68"/>
        <v>0</v>
      </c>
    </row>
    <row r="84" spans="1:16" ht="26.4" x14ac:dyDescent="0.2">
      <c r="A84" s="113">
        <v>3</v>
      </c>
      <c r="B84" s="149" t="s">
        <v>60</v>
      </c>
      <c r="C84" s="108" t="s">
        <v>487</v>
      </c>
      <c r="D84" s="135" t="s">
        <v>62</v>
      </c>
      <c r="E84" s="109">
        <v>68.88</v>
      </c>
      <c r="F84" s="120"/>
      <c r="G84" s="121"/>
      <c r="H84" s="122">
        <f t="shared" si="62"/>
        <v>0</v>
      </c>
      <c r="I84" s="121"/>
      <c r="J84" s="121"/>
      <c r="K84" s="179">
        <f t="shared" ref="K84" si="69">ROUND(H84+J84+I84,2)</f>
        <v>0</v>
      </c>
      <c r="L84" s="184">
        <f t="shared" si="64"/>
        <v>0</v>
      </c>
      <c r="M84" s="121">
        <f t="shared" si="65"/>
        <v>0</v>
      </c>
      <c r="N84" s="121">
        <f t="shared" si="66"/>
        <v>0</v>
      </c>
      <c r="O84" s="121">
        <f t="shared" ref="O84" si="70">ROUND(E84*J84,2)</f>
        <v>0</v>
      </c>
      <c r="P84" s="123">
        <f t="shared" si="68"/>
        <v>0</v>
      </c>
    </row>
    <row r="85" spans="1:16" ht="13.2" x14ac:dyDescent="0.2">
      <c r="A85" s="113">
        <v>4</v>
      </c>
      <c r="B85" s="106" t="s">
        <v>60</v>
      </c>
      <c r="C85" s="100" t="s">
        <v>488</v>
      </c>
      <c r="D85" s="106" t="s">
        <v>62</v>
      </c>
      <c r="E85" s="112">
        <v>64.08</v>
      </c>
      <c r="F85" s="120"/>
      <c r="G85" s="121"/>
      <c r="H85" s="122">
        <f t="shared" si="62"/>
        <v>0</v>
      </c>
      <c r="I85" s="121"/>
      <c r="J85" s="121"/>
      <c r="K85" s="179"/>
      <c r="L85" s="184">
        <f t="shared" si="64"/>
        <v>0</v>
      </c>
      <c r="M85" s="121">
        <f t="shared" si="65"/>
        <v>0</v>
      </c>
      <c r="N85" s="121">
        <f t="shared" si="66"/>
        <v>0</v>
      </c>
      <c r="O85" s="121">
        <f>ROUND(E85*J85,2)</f>
        <v>0</v>
      </c>
      <c r="P85" s="123">
        <f t="shared" si="68"/>
        <v>0</v>
      </c>
    </row>
    <row r="86" spans="1:16" ht="13.2" x14ac:dyDescent="0.2">
      <c r="A86" s="110">
        <v>5</v>
      </c>
      <c r="B86" s="106" t="s">
        <v>60</v>
      </c>
      <c r="C86" s="100" t="s">
        <v>499</v>
      </c>
      <c r="D86" s="106" t="s">
        <v>62</v>
      </c>
      <c r="E86" s="112">
        <v>376.72</v>
      </c>
      <c r="F86" s="120"/>
      <c r="G86" s="121"/>
      <c r="H86" s="122">
        <f t="shared" si="62"/>
        <v>0</v>
      </c>
      <c r="I86" s="121"/>
      <c r="J86" s="121"/>
      <c r="K86" s="179"/>
      <c r="L86" s="184">
        <f t="shared" si="64"/>
        <v>0</v>
      </c>
      <c r="M86" s="121">
        <f t="shared" si="65"/>
        <v>0</v>
      </c>
      <c r="N86" s="121">
        <f t="shared" si="66"/>
        <v>0</v>
      </c>
      <c r="O86" s="121">
        <f>ROUND(E86*J86,2)</f>
        <v>0</v>
      </c>
      <c r="P86" s="123">
        <f t="shared" si="68"/>
        <v>0</v>
      </c>
    </row>
    <row r="87" spans="1:16" ht="26.4" x14ac:dyDescent="0.2">
      <c r="A87" s="113">
        <v>6</v>
      </c>
      <c r="B87" s="106" t="s">
        <v>60</v>
      </c>
      <c r="C87" s="100" t="s">
        <v>490</v>
      </c>
      <c r="D87" s="106" t="s">
        <v>62</v>
      </c>
      <c r="E87" s="112">
        <v>100.3</v>
      </c>
      <c r="F87" s="120"/>
      <c r="G87" s="121"/>
      <c r="H87" s="122">
        <f t="shared" si="62"/>
        <v>0</v>
      </c>
      <c r="I87" s="121"/>
      <c r="J87" s="121"/>
      <c r="K87" s="179">
        <f t="shared" ref="K87:K97" si="71">ROUND(H87+J87+I87,2)</f>
        <v>0</v>
      </c>
      <c r="L87" s="184">
        <f t="shared" si="64"/>
        <v>0</v>
      </c>
      <c r="M87" s="121">
        <f t="shared" si="65"/>
        <v>0</v>
      </c>
      <c r="N87" s="121">
        <f t="shared" si="66"/>
        <v>0</v>
      </c>
      <c r="O87" s="121">
        <f t="shared" ref="O87:O97" si="72">ROUND(E87*J87,2)</f>
        <v>0</v>
      </c>
      <c r="P87" s="123">
        <f t="shared" si="68"/>
        <v>0</v>
      </c>
    </row>
    <row r="88" spans="1:16" ht="13.2" x14ac:dyDescent="0.2">
      <c r="A88" s="113">
        <v>7</v>
      </c>
      <c r="B88" s="106" t="s">
        <v>60</v>
      </c>
      <c r="C88" s="100" t="s">
        <v>491</v>
      </c>
      <c r="D88" s="106" t="s">
        <v>62</v>
      </c>
      <c r="E88" s="112">
        <v>276.12</v>
      </c>
      <c r="F88" s="120"/>
      <c r="G88" s="121"/>
      <c r="H88" s="122">
        <f t="shared" si="62"/>
        <v>0</v>
      </c>
      <c r="I88" s="121"/>
      <c r="J88" s="121"/>
      <c r="K88" s="179">
        <f t="shared" si="71"/>
        <v>0</v>
      </c>
      <c r="L88" s="184">
        <f t="shared" si="64"/>
        <v>0</v>
      </c>
      <c r="M88" s="121">
        <f t="shared" si="65"/>
        <v>0</v>
      </c>
      <c r="N88" s="121">
        <f t="shared" si="66"/>
        <v>0</v>
      </c>
      <c r="O88" s="121">
        <f t="shared" si="72"/>
        <v>0</v>
      </c>
      <c r="P88" s="123">
        <f t="shared" si="68"/>
        <v>0</v>
      </c>
    </row>
    <row r="89" spans="1:16" ht="13.2" x14ac:dyDescent="0.2">
      <c r="A89" s="110">
        <v>8</v>
      </c>
      <c r="B89" s="106" t="s">
        <v>60</v>
      </c>
      <c r="C89" s="100" t="s">
        <v>103</v>
      </c>
      <c r="D89" s="106" t="s">
        <v>68</v>
      </c>
      <c r="E89" s="112">
        <v>1</v>
      </c>
      <c r="F89" s="120"/>
      <c r="G89" s="121"/>
      <c r="H89" s="122">
        <f t="shared" si="62"/>
        <v>0</v>
      </c>
      <c r="I89" s="121"/>
      <c r="J89" s="121"/>
      <c r="K89" s="179">
        <f t="shared" si="71"/>
        <v>0</v>
      </c>
      <c r="L89" s="184">
        <f t="shared" si="64"/>
        <v>0</v>
      </c>
      <c r="M89" s="121">
        <f t="shared" si="65"/>
        <v>0</v>
      </c>
      <c r="N89" s="121">
        <f t="shared" si="66"/>
        <v>0</v>
      </c>
      <c r="O89" s="121">
        <f t="shared" si="72"/>
        <v>0</v>
      </c>
      <c r="P89" s="123">
        <f t="shared" si="68"/>
        <v>0</v>
      </c>
    </row>
    <row r="90" spans="1:16" ht="13.2" x14ac:dyDescent="0.2">
      <c r="A90" s="113">
        <v>9</v>
      </c>
      <c r="B90" s="106" t="s">
        <v>60</v>
      </c>
      <c r="C90" s="100" t="s">
        <v>112</v>
      </c>
      <c r="D90" s="106" t="s">
        <v>73</v>
      </c>
      <c r="E90" s="112">
        <f>E83</f>
        <v>117.5055</v>
      </c>
      <c r="F90" s="120"/>
      <c r="G90" s="121"/>
      <c r="H90" s="122">
        <f t="shared" si="62"/>
        <v>0</v>
      </c>
      <c r="I90" s="121"/>
      <c r="J90" s="121"/>
      <c r="K90" s="179">
        <f t="shared" si="71"/>
        <v>0</v>
      </c>
      <c r="L90" s="184">
        <f t="shared" si="64"/>
        <v>0</v>
      </c>
      <c r="M90" s="121">
        <f t="shared" si="65"/>
        <v>0</v>
      </c>
      <c r="N90" s="121">
        <f t="shared" si="66"/>
        <v>0</v>
      </c>
      <c r="O90" s="121">
        <f t="shared" si="72"/>
        <v>0</v>
      </c>
      <c r="P90" s="123">
        <f t="shared" si="68"/>
        <v>0</v>
      </c>
    </row>
    <row r="91" spans="1:16" ht="12.75" customHeight="1" x14ac:dyDescent="0.2">
      <c r="A91" s="113">
        <v>10</v>
      </c>
      <c r="B91" s="106"/>
      <c r="C91" s="99" t="s">
        <v>113</v>
      </c>
      <c r="D91" s="106" t="s">
        <v>96</v>
      </c>
      <c r="E91" s="112">
        <f>E90*0.12</f>
        <v>14.10066</v>
      </c>
      <c r="F91" s="120"/>
      <c r="G91" s="121"/>
      <c r="H91" s="122"/>
      <c r="I91" s="121"/>
      <c r="J91" s="121"/>
      <c r="K91" s="179">
        <f t="shared" si="71"/>
        <v>0</v>
      </c>
      <c r="L91" s="184">
        <f t="shared" si="64"/>
        <v>0</v>
      </c>
      <c r="M91" s="121">
        <f t="shared" si="65"/>
        <v>0</v>
      </c>
      <c r="N91" s="121">
        <f t="shared" si="66"/>
        <v>0</v>
      </c>
      <c r="O91" s="121">
        <f t="shared" si="72"/>
        <v>0</v>
      </c>
      <c r="P91" s="123">
        <f t="shared" si="68"/>
        <v>0</v>
      </c>
    </row>
    <row r="92" spans="1:16" ht="13.2" x14ac:dyDescent="0.2">
      <c r="A92" s="110">
        <v>11</v>
      </c>
      <c r="B92" s="106"/>
      <c r="C92" s="99" t="s">
        <v>376</v>
      </c>
      <c r="D92" s="106" t="s">
        <v>99</v>
      </c>
      <c r="E92" s="112">
        <f>E90*4.5</f>
        <v>528.77475000000004</v>
      </c>
      <c r="F92" s="120"/>
      <c r="G92" s="121"/>
      <c r="H92" s="122"/>
      <c r="I92" s="121"/>
      <c r="J92" s="121"/>
      <c r="K92" s="179">
        <f t="shared" si="71"/>
        <v>0</v>
      </c>
      <c r="L92" s="184">
        <f t="shared" si="64"/>
        <v>0</v>
      </c>
      <c r="M92" s="121">
        <f t="shared" si="65"/>
        <v>0</v>
      </c>
      <c r="N92" s="121">
        <f t="shared" si="66"/>
        <v>0</v>
      </c>
      <c r="O92" s="121">
        <f t="shared" si="72"/>
        <v>0</v>
      </c>
      <c r="P92" s="123">
        <f t="shared" si="68"/>
        <v>0</v>
      </c>
    </row>
    <row r="93" spans="1:16" ht="13.2" x14ac:dyDescent="0.2">
      <c r="A93" s="113">
        <v>12</v>
      </c>
      <c r="B93" s="106"/>
      <c r="C93" s="99" t="s">
        <v>101</v>
      </c>
      <c r="D93" s="106" t="s">
        <v>73</v>
      </c>
      <c r="E93" s="112">
        <f>E90*1.2</f>
        <v>141.00659999999999</v>
      </c>
      <c r="F93" s="120"/>
      <c r="G93" s="121"/>
      <c r="H93" s="122"/>
      <c r="I93" s="121"/>
      <c r="J93" s="121"/>
      <c r="K93" s="179">
        <f t="shared" si="71"/>
        <v>0</v>
      </c>
      <c r="L93" s="184">
        <f t="shared" si="64"/>
        <v>0</v>
      </c>
      <c r="M93" s="121">
        <f t="shared" si="65"/>
        <v>0</v>
      </c>
      <c r="N93" s="121">
        <f t="shared" si="66"/>
        <v>0</v>
      </c>
      <c r="O93" s="121">
        <f t="shared" si="72"/>
        <v>0</v>
      </c>
      <c r="P93" s="123">
        <f t="shared" si="68"/>
        <v>0</v>
      </c>
    </row>
    <row r="94" spans="1:16" ht="13.2" x14ac:dyDescent="0.2">
      <c r="A94" s="113">
        <v>13</v>
      </c>
      <c r="B94" s="106"/>
      <c r="C94" s="99" t="s">
        <v>115</v>
      </c>
      <c r="D94" s="106" t="s">
        <v>62</v>
      </c>
      <c r="E94" s="112">
        <f>1.1*1.1</f>
        <v>1.2100000000000002</v>
      </c>
      <c r="F94" s="120"/>
      <c r="G94" s="121"/>
      <c r="H94" s="122"/>
      <c r="I94" s="121"/>
      <c r="J94" s="121"/>
      <c r="K94" s="179">
        <f t="shared" si="71"/>
        <v>0</v>
      </c>
      <c r="L94" s="184">
        <f t="shared" si="64"/>
        <v>0</v>
      </c>
      <c r="M94" s="121">
        <f t="shared" si="65"/>
        <v>0</v>
      </c>
      <c r="N94" s="121">
        <f t="shared" si="66"/>
        <v>0</v>
      </c>
      <c r="O94" s="121">
        <f t="shared" si="72"/>
        <v>0</v>
      </c>
      <c r="P94" s="123">
        <f t="shared" si="68"/>
        <v>0</v>
      </c>
    </row>
    <row r="95" spans="1:16" ht="13.2" x14ac:dyDescent="0.2">
      <c r="A95" s="110">
        <v>14</v>
      </c>
      <c r="B95" s="106" t="s">
        <v>60</v>
      </c>
      <c r="C95" s="100" t="s">
        <v>117</v>
      </c>
      <c r="D95" s="106" t="s">
        <v>73</v>
      </c>
      <c r="E95" s="112">
        <f>(E88+E87)*0.25</f>
        <v>94.105000000000004</v>
      </c>
      <c r="F95" s="120"/>
      <c r="G95" s="121"/>
      <c r="H95" s="122">
        <f t="shared" ref="H95" si="73">ROUND(F95*G95,2)</f>
        <v>0</v>
      </c>
      <c r="I95" s="121"/>
      <c r="J95" s="121"/>
      <c r="K95" s="179">
        <f t="shared" si="71"/>
        <v>0</v>
      </c>
      <c r="L95" s="184">
        <f t="shared" si="64"/>
        <v>0</v>
      </c>
      <c r="M95" s="121">
        <f t="shared" si="65"/>
        <v>0</v>
      </c>
      <c r="N95" s="121">
        <f t="shared" si="66"/>
        <v>0</v>
      </c>
      <c r="O95" s="121">
        <f t="shared" si="72"/>
        <v>0</v>
      </c>
      <c r="P95" s="123">
        <f t="shared" si="68"/>
        <v>0</v>
      </c>
    </row>
    <row r="96" spans="1:16" ht="26.4" x14ac:dyDescent="0.2">
      <c r="A96" s="113">
        <v>15</v>
      </c>
      <c r="B96" s="106"/>
      <c r="C96" s="99" t="s">
        <v>294</v>
      </c>
      <c r="D96" s="106" t="s">
        <v>96</v>
      </c>
      <c r="E96" s="112">
        <f>E95*0.15</f>
        <v>14.11575</v>
      </c>
      <c r="F96" s="120"/>
      <c r="G96" s="121"/>
      <c r="H96" s="122"/>
      <c r="I96" s="121"/>
      <c r="J96" s="121"/>
      <c r="K96" s="179">
        <f t="shared" si="71"/>
        <v>0</v>
      </c>
      <c r="L96" s="184">
        <f t="shared" si="64"/>
        <v>0</v>
      </c>
      <c r="M96" s="121">
        <f t="shared" si="65"/>
        <v>0</v>
      </c>
      <c r="N96" s="121">
        <f t="shared" si="66"/>
        <v>0</v>
      </c>
      <c r="O96" s="121">
        <f t="shared" si="72"/>
        <v>0</v>
      </c>
      <c r="P96" s="123">
        <f t="shared" si="68"/>
        <v>0</v>
      </c>
    </row>
    <row r="97" spans="1:16" ht="26.4" x14ac:dyDescent="0.2">
      <c r="A97" s="113">
        <v>16</v>
      </c>
      <c r="B97" s="106"/>
      <c r="C97" s="99" t="s">
        <v>405</v>
      </c>
      <c r="D97" s="106" t="s">
        <v>99</v>
      </c>
      <c r="E97" s="112">
        <f>E95*4</f>
        <v>376.42</v>
      </c>
      <c r="F97" s="120"/>
      <c r="G97" s="121"/>
      <c r="H97" s="122"/>
      <c r="I97" s="121"/>
      <c r="J97" s="121"/>
      <c r="K97" s="179">
        <f t="shared" si="71"/>
        <v>0</v>
      </c>
      <c r="L97" s="184">
        <f t="shared" si="64"/>
        <v>0</v>
      </c>
      <c r="M97" s="121">
        <f t="shared" si="65"/>
        <v>0</v>
      </c>
      <c r="N97" s="121">
        <f t="shared" si="66"/>
        <v>0</v>
      </c>
      <c r="O97" s="121">
        <f t="shared" si="72"/>
        <v>0</v>
      </c>
      <c r="P97" s="123">
        <f t="shared" si="68"/>
        <v>0</v>
      </c>
    </row>
    <row r="98" spans="1:16" ht="26.4" x14ac:dyDescent="0.2">
      <c r="A98" s="110"/>
      <c r="B98" s="106"/>
      <c r="C98" s="174" t="s">
        <v>492</v>
      </c>
      <c r="D98" s="106"/>
      <c r="E98" s="112"/>
      <c r="F98" s="120"/>
      <c r="G98" s="121"/>
      <c r="H98" s="122"/>
      <c r="I98" s="121"/>
      <c r="J98" s="121"/>
      <c r="K98" s="179"/>
      <c r="L98" s="184"/>
      <c r="M98" s="121"/>
      <c r="N98" s="121"/>
      <c r="O98" s="121"/>
      <c r="P98" s="123"/>
    </row>
    <row r="99" spans="1:16" ht="13.2" x14ac:dyDescent="0.2">
      <c r="A99" s="113">
        <v>1</v>
      </c>
      <c r="B99" s="149" t="s">
        <v>60</v>
      </c>
      <c r="C99" s="100" t="s">
        <v>493</v>
      </c>
      <c r="D99" s="106" t="s">
        <v>62</v>
      </c>
      <c r="E99" s="112">
        <v>11.42</v>
      </c>
      <c r="F99" s="120"/>
      <c r="G99" s="121"/>
      <c r="H99" s="122">
        <f t="shared" ref="H99:H106" si="74">ROUND(F99*G99,2)</f>
        <v>0</v>
      </c>
      <c r="I99" s="121"/>
      <c r="J99" s="121"/>
      <c r="K99" s="179">
        <f t="shared" ref="K99:K100" si="75">ROUND(H99+J99+I99,2)</f>
        <v>0</v>
      </c>
      <c r="L99" s="184">
        <f t="shared" ref="L99:L106" si="76">ROUND(E99*F99,2)</f>
        <v>0</v>
      </c>
      <c r="M99" s="121">
        <f t="shared" ref="M99:M106" si="77">ROUND(E99*H99,2)</f>
        <v>0</v>
      </c>
      <c r="N99" s="121">
        <f t="shared" ref="N99:N106" si="78">ROUND(E99*I99,2)</f>
        <v>0</v>
      </c>
      <c r="O99" s="121">
        <f t="shared" ref="O99:O100" si="79">ROUND(E99*J99,2)</f>
        <v>0</v>
      </c>
      <c r="P99" s="123">
        <f t="shared" ref="P99:P106" si="80">ROUND(O99+N99+M99,2)</f>
        <v>0</v>
      </c>
    </row>
    <row r="100" spans="1:16" ht="13.2" x14ac:dyDescent="0.2">
      <c r="A100" s="110">
        <v>2</v>
      </c>
      <c r="B100" s="106" t="s">
        <v>60</v>
      </c>
      <c r="C100" s="100" t="s">
        <v>494</v>
      </c>
      <c r="D100" s="106" t="s">
        <v>73</v>
      </c>
      <c r="E100" s="112">
        <v>4</v>
      </c>
      <c r="F100" s="120"/>
      <c r="G100" s="121"/>
      <c r="H100" s="122">
        <f t="shared" si="74"/>
        <v>0</v>
      </c>
      <c r="I100" s="121"/>
      <c r="J100" s="121"/>
      <c r="K100" s="179">
        <f t="shared" si="75"/>
        <v>0</v>
      </c>
      <c r="L100" s="184">
        <f t="shared" si="76"/>
        <v>0</v>
      </c>
      <c r="M100" s="121">
        <f t="shared" si="77"/>
        <v>0</v>
      </c>
      <c r="N100" s="121">
        <f t="shared" si="78"/>
        <v>0</v>
      </c>
      <c r="O100" s="121">
        <f t="shared" si="79"/>
        <v>0</v>
      </c>
      <c r="P100" s="123">
        <f t="shared" si="80"/>
        <v>0</v>
      </c>
    </row>
    <row r="101" spans="1:16" ht="13.2" x14ac:dyDescent="0.2">
      <c r="A101" s="110">
        <v>3</v>
      </c>
      <c r="B101" s="106" t="s">
        <v>60</v>
      </c>
      <c r="C101" s="100" t="s">
        <v>495</v>
      </c>
      <c r="D101" s="106" t="s">
        <v>62</v>
      </c>
      <c r="E101" s="112">
        <v>8.75</v>
      </c>
      <c r="F101" s="120"/>
      <c r="G101" s="121"/>
      <c r="H101" s="122">
        <f t="shared" si="74"/>
        <v>0</v>
      </c>
      <c r="I101" s="121"/>
      <c r="J101" s="121"/>
      <c r="K101" s="179"/>
      <c r="L101" s="184">
        <f t="shared" si="76"/>
        <v>0</v>
      </c>
      <c r="M101" s="121">
        <f t="shared" si="77"/>
        <v>0</v>
      </c>
      <c r="N101" s="121">
        <f t="shared" si="78"/>
        <v>0</v>
      </c>
      <c r="O101" s="121">
        <f>ROUND(E101*J101,2)</f>
        <v>0</v>
      </c>
      <c r="P101" s="123">
        <f t="shared" si="80"/>
        <v>0</v>
      </c>
    </row>
    <row r="102" spans="1:16" ht="13.2" x14ac:dyDescent="0.2">
      <c r="A102" s="110">
        <v>4</v>
      </c>
      <c r="B102" s="106" t="s">
        <v>60</v>
      </c>
      <c r="C102" s="100" t="s">
        <v>128</v>
      </c>
      <c r="D102" s="106" t="s">
        <v>73</v>
      </c>
      <c r="E102" s="112">
        <v>4</v>
      </c>
      <c r="F102" s="120"/>
      <c r="G102" s="121"/>
      <c r="H102" s="122">
        <f t="shared" si="74"/>
        <v>0</v>
      </c>
      <c r="I102" s="121"/>
      <c r="J102" s="121"/>
      <c r="K102" s="179">
        <f t="shared" ref="K102:K106" si="81">ROUND(H102+J102+I102,2)</f>
        <v>0</v>
      </c>
      <c r="L102" s="184">
        <f t="shared" si="76"/>
        <v>0</v>
      </c>
      <c r="M102" s="121">
        <f t="shared" si="77"/>
        <v>0</v>
      </c>
      <c r="N102" s="121">
        <f t="shared" si="78"/>
        <v>0</v>
      </c>
      <c r="O102" s="121">
        <f t="shared" ref="O102:O106" si="82">ROUND(E102*J102,2)</f>
        <v>0</v>
      </c>
      <c r="P102" s="123">
        <f t="shared" si="80"/>
        <v>0</v>
      </c>
    </row>
    <row r="103" spans="1:16" ht="13.2" x14ac:dyDescent="0.2">
      <c r="A103" s="110">
        <v>5</v>
      </c>
      <c r="B103" s="106" t="s">
        <v>60</v>
      </c>
      <c r="C103" s="100" t="s">
        <v>528</v>
      </c>
      <c r="D103" s="106" t="s">
        <v>73</v>
      </c>
      <c r="E103" s="112">
        <f>E102</f>
        <v>4</v>
      </c>
      <c r="F103" s="120"/>
      <c r="G103" s="121"/>
      <c r="H103" s="122">
        <f t="shared" si="74"/>
        <v>0</v>
      </c>
      <c r="I103" s="121"/>
      <c r="J103" s="121"/>
      <c r="K103" s="179">
        <f t="shared" si="81"/>
        <v>0</v>
      </c>
      <c r="L103" s="184">
        <f t="shared" si="76"/>
        <v>0</v>
      </c>
      <c r="M103" s="121">
        <f t="shared" si="77"/>
        <v>0</v>
      </c>
      <c r="N103" s="121">
        <f t="shared" si="78"/>
        <v>0</v>
      </c>
      <c r="O103" s="121">
        <f t="shared" si="82"/>
        <v>0</v>
      </c>
      <c r="P103" s="123">
        <f t="shared" si="80"/>
        <v>0</v>
      </c>
    </row>
    <row r="104" spans="1:16" ht="13.2" x14ac:dyDescent="0.2">
      <c r="A104" s="110">
        <v>6</v>
      </c>
      <c r="B104" s="106"/>
      <c r="C104" s="99" t="s">
        <v>262</v>
      </c>
      <c r="D104" s="106" t="s">
        <v>96</v>
      </c>
      <c r="E104" s="112">
        <f>E103*0.17</f>
        <v>0.68</v>
      </c>
      <c r="F104" s="120"/>
      <c r="G104" s="121"/>
      <c r="H104" s="122"/>
      <c r="I104" s="121"/>
      <c r="J104" s="121"/>
      <c r="K104" s="179">
        <f t="shared" si="81"/>
        <v>0</v>
      </c>
      <c r="L104" s="184">
        <f t="shared" si="76"/>
        <v>0</v>
      </c>
      <c r="M104" s="121">
        <f t="shared" si="77"/>
        <v>0</v>
      </c>
      <c r="N104" s="121">
        <f t="shared" si="78"/>
        <v>0</v>
      </c>
      <c r="O104" s="121">
        <f t="shared" si="82"/>
        <v>0</v>
      </c>
      <c r="P104" s="123">
        <f t="shared" si="80"/>
        <v>0</v>
      </c>
    </row>
    <row r="105" spans="1:16" ht="13.2" x14ac:dyDescent="0.2">
      <c r="A105" s="110">
        <v>7</v>
      </c>
      <c r="B105" s="106"/>
      <c r="C105" s="99" t="s">
        <v>581</v>
      </c>
      <c r="D105" s="106" t="s">
        <v>96</v>
      </c>
      <c r="E105" s="152">
        <f>E103*0.12*2*1.05</f>
        <v>1.008</v>
      </c>
      <c r="F105" s="120"/>
      <c r="G105" s="121"/>
      <c r="H105" s="122"/>
      <c r="I105" s="121"/>
      <c r="J105" s="121"/>
      <c r="K105" s="179">
        <f t="shared" si="81"/>
        <v>0</v>
      </c>
      <c r="L105" s="184">
        <f t="shared" si="76"/>
        <v>0</v>
      </c>
      <c r="M105" s="121">
        <f t="shared" si="77"/>
        <v>0</v>
      </c>
      <c r="N105" s="121">
        <f t="shared" si="78"/>
        <v>0</v>
      </c>
      <c r="O105" s="121">
        <f t="shared" si="82"/>
        <v>0</v>
      </c>
      <c r="P105" s="123">
        <f t="shared" si="80"/>
        <v>0</v>
      </c>
    </row>
    <row r="106" spans="1:16" ht="26.4" x14ac:dyDescent="0.2">
      <c r="A106" s="110">
        <v>8</v>
      </c>
      <c r="B106" s="106" t="s">
        <v>60</v>
      </c>
      <c r="C106" s="100" t="s">
        <v>496</v>
      </c>
      <c r="D106" s="106" t="s">
        <v>62</v>
      </c>
      <c r="E106" s="112">
        <v>2.7</v>
      </c>
      <c r="F106" s="120"/>
      <c r="G106" s="121"/>
      <c r="H106" s="122">
        <f t="shared" si="74"/>
        <v>0</v>
      </c>
      <c r="I106" s="121"/>
      <c r="J106" s="121"/>
      <c r="K106" s="179">
        <f t="shared" si="81"/>
        <v>0</v>
      </c>
      <c r="L106" s="184">
        <f t="shared" si="76"/>
        <v>0</v>
      </c>
      <c r="M106" s="121">
        <f t="shared" si="77"/>
        <v>0</v>
      </c>
      <c r="N106" s="121">
        <f t="shared" si="78"/>
        <v>0</v>
      </c>
      <c r="O106" s="121">
        <f t="shared" si="82"/>
        <v>0</v>
      </c>
      <c r="P106" s="123">
        <f t="shared" si="80"/>
        <v>0</v>
      </c>
    </row>
    <row r="107" spans="1:16" ht="26.4" x14ac:dyDescent="0.2">
      <c r="A107" s="110"/>
      <c r="B107" s="106"/>
      <c r="C107" s="174" t="s">
        <v>500</v>
      </c>
      <c r="D107" s="106"/>
      <c r="E107" s="112"/>
      <c r="F107" s="120"/>
      <c r="G107" s="121"/>
      <c r="H107" s="122"/>
      <c r="I107" s="121"/>
      <c r="J107" s="121"/>
      <c r="K107" s="179"/>
      <c r="L107" s="184"/>
      <c r="M107" s="121"/>
      <c r="N107" s="121"/>
      <c r="O107" s="121"/>
      <c r="P107" s="123"/>
    </row>
    <row r="108" spans="1:16" ht="13.2" x14ac:dyDescent="0.2">
      <c r="A108" s="113">
        <v>1</v>
      </c>
      <c r="B108" s="149" t="s">
        <v>60</v>
      </c>
      <c r="C108" s="100" t="s">
        <v>493</v>
      </c>
      <c r="D108" s="106" t="s">
        <v>62</v>
      </c>
      <c r="E108" s="112">
        <v>203.24</v>
      </c>
      <c r="F108" s="120"/>
      <c r="G108" s="121"/>
      <c r="H108" s="122">
        <f t="shared" ref="H108:H109" si="83">ROUND(F108*G108,2)</f>
        <v>0</v>
      </c>
      <c r="I108" s="121"/>
      <c r="J108" s="121"/>
      <c r="K108" s="179">
        <f t="shared" ref="K108:K116" si="84">ROUND(H108+J108+I108,2)</f>
        <v>0</v>
      </c>
      <c r="L108" s="184">
        <f t="shared" ref="L108:L116" si="85">ROUND(E108*F108,2)</f>
        <v>0</v>
      </c>
      <c r="M108" s="121">
        <f t="shared" ref="M108:M116" si="86">ROUND(E108*H108,2)</f>
        <v>0</v>
      </c>
      <c r="N108" s="121">
        <f t="shared" ref="N108:N116" si="87">ROUND(E108*I108,2)</f>
        <v>0</v>
      </c>
      <c r="O108" s="121">
        <f t="shared" ref="O108:O116" si="88">ROUND(E108*J108,2)</f>
        <v>0</v>
      </c>
      <c r="P108" s="123">
        <f t="shared" ref="P108:P116" si="89">ROUND(O108+N108+M108,2)</f>
        <v>0</v>
      </c>
    </row>
    <row r="109" spans="1:16" ht="26.4" x14ac:dyDescent="0.2">
      <c r="A109" s="110">
        <v>2</v>
      </c>
      <c r="B109" s="106" t="s">
        <v>60</v>
      </c>
      <c r="C109" s="100" t="s">
        <v>498</v>
      </c>
      <c r="D109" s="106" t="s">
        <v>73</v>
      </c>
      <c r="E109" s="112">
        <v>33.340000000000003</v>
      </c>
      <c r="F109" s="120"/>
      <c r="G109" s="121"/>
      <c r="H109" s="122">
        <f t="shared" si="83"/>
        <v>0</v>
      </c>
      <c r="I109" s="121"/>
      <c r="J109" s="121"/>
      <c r="K109" s="179">
        <f t="shared" si="84"/>
        <v>0</v>
      </c>
      <c r="L109" s="184">
        <f t="shared" si="85"/>
        <v>0</v>
      </c>
      <c r="M109" s="121">
        <f t="shared" si="86"/>
        <v>0</v>
      </c>
      <c r="N109" s="121">
        <f t="shared" si="87"/>
        <v>0</v>
      </c>
      <c r="O109" s="121">
        <f t="shared" si="88"/>
        <v>0</v>
      </c>
      <c r="P109" s="123">
        <f t="shared" si="89"/>
        <v>0</v>
      </c>
    </row>
    <row r="110" spans="1:16" ht="13.2" x14ac:dyDescent="0.2">
      <c r="A110" s="110">
        <v>3</v>
      </c>
      <c r="B110" s="106"/>
      <c r="C110" s="99" t="s">
        <v>373</v>
      </c>
      <c r="D110" s="106" t="s">
        <v>96</v>
      </c>
      <c r="E110" s="112">
        <f>E109*0.15</f>
        <v>5.0010000000000003</v>
      </c>
      <c r="F110" s="120"/>
      <c r="G110" s="121"/>
      <c r="H110" s="122"/>
      <c r="I110" s="121"/>
      <c r="J110" s="121"/>
      <c r="K110" s="179">
        <f t="shared" si="84"/>
        <v>0</v>
      </c>
      <c r="L110" s="184">
        <f t="shared" si="85"/>
        <v>0</v>
      </c>
      <c r="M110" s="121">
        <f t="shared" si="86"/>
        <v>0</v>
      </c>
      <c r="N110" s="121">
        <f t="shared" si="87"/>
        <v>0</v>
      </c>
      <c r="O110" s="121">
        <f t="shared" si="88"/>
        <v>0</v>
      </c>
      <c r="P110" s="123">
        <f t="shared" si="89"/>
        <v>0</v>
      </c>
    </row>
    <row r="111" spans="1:16" ht="26.4" x14ac:dyDescent="0.2">
      <c r="A111" s="113">
        <v>4</v>
      </c>
      <c r="B111" s="106"/>
      <c r="C111" s="99" t="s">
        <v>108</v>
      </c>
      <c r="D111" s="106" t="s">
        <v>109</v>
      </c>
      <c r="E111" s="112">
        <f>E109*5*1.2</f>
        <v>200.04000000000002</v>
      </c>
      <c r="F111" s="120"/>
      <c r="G111" s="121"/>
      <c r="H111" s="122"/>
      <c r="I111" s="121"/>
      <c r="J111" s="121"/>
      <c r="K111" s="179">
        <f t="shared" si="84"/>
        <v>0</v>
      </c>
      <c r="L111" s="184">
        <f t="shared" si="85"/>
        <v>0</v>
      </c>
      <c r="M111" s="121">
        <f t="shared" si="86"/>
        <v>0</v>
      </c>
      <c r="N111" s="121">
        <f t="shared" si="87"/>
        <v>0</v>
      </c>
      <c r="O111" s="121">
        <f t="shared" si="88"/>
        <v>0</v>
      </c>
      <c r="P111" s="123">
        <f t="shared" si="89"/>
        <v>0</v>
      </c>
    </row>
    <row r="112" spans="1:16" ht="13.2" x14ac:dyDescent="0.2">
      <c r="A112" s="110">
        <v>5</v>
      </c>
      <c r="B112" s="106" t="s">
        <v>60</v>
      </c>
      <c r="C112" s="100" t="s">
        <v>128</v>
      </c>
      <c r="D112" s="106" t="s">
        <v>73</v>
      </c>
      <c r="E112" s="112">
        <f>E109</f>
        <v>33.340000000000003</v>
      </c>
      <c r="F112" s="120"/>
      <c r="G112" s="121"/>
      <c r="H112" s="122">
        <f t="shared" ref="H112:H116" si="90">ROUND(F112*G112,2)</f>
        <v>0</v>
      </c>
      <c r="I112" s="121"/>
      <c r="J112" s="121"/>
      <c r="K112" s="179">
        <f t="shared" si="84"/>
        <v>0</v>
      </c>
      <c r="L112" s="184">
        <f t="shared" si="85"/>
        <v>0</v>
      </c>
      <c r="M112" s="121">
        <f t="shared" si="86"/>
        <v>0</v>
      </c>
      <c r="N112" s="121">
        <f t="shared" si="87"/>
        <v>0</v>
      </c>
      <c r="O112" s="121">
        <f t="shared" si="88"/>
        <v>0</v>
      </c>
      <c r="P112" s="123">
        <f t="shared" si="89"/>
        <v>0</v>
      </c>
    </row>
    <row r="113" spans="1:16" ht="13.2" x14ac:dyDescent="0.2">
      <c r="A113" s="110">
        <v>6</v>
      </c>
      <c r="B113" s="106" t="s">
        <v>60</v>
      </c>
      <c r="C113" s="100" t="s">
        <v>528</v>
      </c>
      <c r="D113" s="106" t="s">
        <v>73</v>
      </c>
      <c r="E113" s="112">
        <f>E112</f>
        <v>33.340000000000003</v>
      </c>
      <c r="F113" s="120"/>
      <c r="G113" s="121"/>
      <c r="H113" s="122">
        <f t="shared" si="90"/>
        <v>0</v>
      </c>
      <c r="I113" s="121"/>
      <c r="J113" s="121"/>
      <c r="K113" s="179">
        <f t="shared" si="84"/>
        <v>0</v>
      </c>
      <c r="L113" s="184">
        <f t="shared" si="85"/>
        <v>0</v>
      </c>
      <c r="M113" s="121">
        <f t="shared" si="86"/>
        <v>0</v>
      </c>
      <c r="N113" s="121">
        <f t="shared" si="87"/>
        <v>0</v>
      </c>
      <c r="O113" s="121">
        <f t="shared" si="88"/>
        <v>0</v>
      </c>
      <c r="P113" s="123">
        <f t="shared" si="89"/>
        <v>0</v>
      </c>
    </row>
    <row r="114" spans="1:16" ht="13.2" x14ac:dyDescent="0.2">
      <c r="A114" s="113">
        <v>7</v>
      </c>
      <c r="B114" s="106"/>
      <c r="C114" s="99" t="s">
        <v>262</v>
      </c>
      <c r="D114" s="106" t="s">
        <v>96</v>
      </c>
      <c r="E114" s="112">
        <f>E113*0.17</f>
        <v>5.6678000000000006</v>
      </c>
      <c r="F114" s="120"/>
      <c r="G114" s="121"/>
      <c r="H114" s="122"/>
      <c r="I114" s="121"/>
      <c r="J114" s="121"/>
      <c r="K114" s="179">
        <f t="shared" si="84"/>
        <v>0</v>
      </c>
      <c r="L114" s="184">
        <f t="shared" si="85"/>
        <v>0</v>
      </c>
      <c r="M114" s="121">
        <f t="shared" si="86"/>
        <v>0</v>
      </c>
      <c r="N114" s="121">
        <f t="shared" si="87"/>
        <v>0</v>
      </c>
      <c r="O114" s="121">
        <f t="shared" si="88"/>
        <v>0</v>
      </c>
      <c r="P114" s="123">
        <f t="shared" si="89"/>
        <v>0</v>
      </c>
    </row>
    <row r="115" spans="1:16" ht="13.2" x14ac:dyDescent="0.2">
      <c r="A115" s="110">
        <v>8</v>
      </c>
      <c r="B115" s="106"/>
      <c r="C115" s="99" t="s">
        <v>581</v>
      </c>
      <c r="D115" s="106" t="s">
        <v>96</v>
      </c>
      <c r="E115" s="152">
        <f>E113*0.12*2*1.05</f>
        <v>8.4016800000000007</v>
      </c>
      <c r="F115" s="120"/>
      <c r="G115" s="121"/>
      <c r="H115" s="122"/>
      <c r="I115" s="121"/>
      <c r="J115" s="121"/>
      <c r="K115" s="179">
        <f t="shared" si="84"/>
        <v>0</v>
      </c>
      <c r="L115" s="184">
        <f t="shared" si="85"/>
        <v>0</v>
      </c>
      <c r="M115" s="121">
        <f t="shared" si="86"/>
        <v>0</v>
      </c>
      <c r="N115" s="121">
        <f t="shared" si="87"/>
        <v>0</v>
      </c>
      <c r="O115" s="121">
        <f t="shared" si="88"/>
        <v>0</v>
      </c>
      <c r="P115" s="123">
        <f t="shared" si="89"/>
        <v>0</v>
      </c>
    </row>
    <row r="116" spans="1:16" ht="39.6" x14ac:dyDescent="0.2">
      <c r="A116" s="110">
        <v>9</v>
      </c>
      <c r="B116" s="106" t="s">
        <v>60</v>
      </c>
      <c r="C116" s="100" t="s">
        <v>501</v>
      </c>
      <c r="D116" s="106" t="s">
        <v>62</v>
      </c>
      <c r="E116" s="112">
        <v>70.540000000000006</v>
      </c>
      <c r="F116" s="120"/>
      <c r="G116" s="121"/>
      <c r="H116" s="122">
        <f t="shared" si="90"/>
        <v>0</v>
      </c>
      <c r="I116" s="121"/>
      <c r="J116" s="121"/>
      <c r="K116" s="179">
        <f t="shared" si="84"/>
        <v>0</v>
      </c>
      <c r="L116" s="184">
        <f t="shared" si="85"/>
        <v>0</v>
      </c>
      <c r="M116" s="121">
        <f t="shared" si="86"/>
        <v>0</v>
      </c>
      <c r="N116" s="121">
        <f t="shared" si="87"/>
        <v>0</v>
      </c>
      <c r="O116" s="121">
        <f t="shared" si="88"/>
        <v>0</v>
      </c>
      <c r="P116" s="123">
        <f t="shared" si="89"/>
        <v>0</v>
      </c>
    </row>
    <row r="117" spans="1:16" ht="26.4" x14ac:dyDescent="0.2">
      <c r="A117" s="163"/>
      <c r="B117" s="164"/>
      <c r="C117" s="165" t="s">
        <v>502</v>
      </c>
      <c r="D117" s="166"/>
      <c r="E117" s="167"/>
      <c r="F117" s="168"/>
      <c r="G117" s="169"/>
      <c r="H117" s="169"/>
      <c r="I117" s="169"/>
      <c r="J117" s="169"/>
      <c r="K117" s="194"/>
      <c r="L117" s="195"/>
      <c r="M117" s="172"/>
      <c r="N117" s="172"/>
      <c r="O117" s="172"/>
      <c r="P117" s="173"/>
    </row>
    <row r="118" spans="1:16" ht="26.4" x14ac:dyDescent="0.2">
      <c r="A118" s="110">
        <v>1</v>
      </c>
      <c r="B118" s="106" t="s">
        <v>60</v>
      </c>
      <c r="C118" s="100" t="s">
        <v>484</v>
      </c>
      <c r="D118" s="106" t="s">
        <v>62</v>
      </c>
      <c r="E118" s="112">
        <v>4.6399999999999997</v>
      </c>
      <c r="F118" s="120"/>
      <c r="G118" s="121"/>
      <c r="H118" s="122">
        <f t="shared" ref="H118:H119" si="91">ROUND(F118*G118,2)</f>
        <v>0</v>
      </c>
      <c r="I118" s="121"/>
      <c r="J118" s="121"/>
      <c r="K118" s="179">
        <f t="shared" ref="K118:K121" si="92">ROUND(H118+J118+I118,2)</f>
        <v>0</v>
      </c>
      <c r="L118" s="184">
        <f t="shared" ref="L118:L121" si="93">ROUND(E118*F118,2)</f>
        <v>0</v>
      </c>
      <c r="M118" s="121">
        <f t="shared" ref="M118:M121" si="94">ROUND(E118*H118,2)</f>
        <v>0</v>
      </c>
      <c r="N118" s="121">
        <f t="shared" ref="N118:N121" si="95">ROUND(E118*I118,2)</f>
        <v>0</v>
      </c>
      <c r="O118" s="121">
        <f t="shared" ref="O118:O121" si="96">ROUND(E118*J118,2)</f>
        <v>0</v>
      </c>
      <c r="P118" s="123">
        <f t="shared" ref="P118:P121" si="97">ROUND(O118+N118+M118,2)</f>
        <v>0</v>
      </c>
    </row>
    <row r="119" spans="1:16" ht="13.2" x14ac:dyDescent="0.2">
      <c r="A119" s="110">
        <v>2</v>
      </c>
      <c r="B119" s="106" t="s">
        <v>60</v>
      </c>
      <c r="C119" s="100" t="s">
        <v>485</v>
      </c>
      <c r="D119" s="106" t="s">
        <v>73</v>
      </c>
      <c r="E119" s="112">
        <v>1.86</v>
      </c>
      <c r="F119" s="120"/>
      <c r="G119" s="121"/>
      <c r="H119" s="122">
        <f t="shared" si="91"/>
        <v>0</v>
      </c>
      <c r="I119" s="121"/>
      <c r="J119" s="121"/>
      <c r="K119" s="179">
        <f t="shared" si="92"/>
        <v>0</v>
      </c>
      <c r="L119" s="184">
        <f t="shared" si="93"/>
        <v>0</v>
      </c>
      <c r="M119" s="121">
        <f t="shared" si="94"/>
        <v>0</v>
      </c>
      <c r="N119" s="121">
        <f t="shared" si="95"/>
        <v>0</v>
      </c>
      <c r="O119" s="121">
        <f t="shared" si="96"/>
        <v>0</v>
      </c>
      <c r="P119" s="123">
        <f t="shared" si="97"/>
        <v>0</v>
      </c>
    </row>
    <row r="120" spans="1:16" ht="13.2" x14ac:dyDescent="0.2">
      <c r="A120" s="110">
        <v>3</v>
      </c>
      <c r="B120" s="106"/>
      <c r="C120" s="99" t="s">
        <v>373</v>
      </c>
      <c r="D120" s="106" t="s">
        <v>96</v>
      </c>
      <c r="E120" s="112">
        <f>E119*0.15</f>
        <v>0.27900000000000003</v>
      </c>
      <c r="F120" s="120"/>
      <c r="G120" s="121"/>
      <c r="H120" s="122"/>
      <c r="I120" s="121"/>
      <c r="J120" s="121"/>
      <c r="K120" s="179">
        <f t="shared" si="92"/>
        <v>0</v>
      </c>
      <c r="L120" s="184">
        <f t="shared" si="93"/>
        <v>0</v>
      </c>
      <c r="M120" s="121">
        <f t="shared" si="94"/>
        <v>0</v>
      </c>
      <c r="N120" s="121">
        <f t="shared" si="95"/>
        <v>0</v>
      </c>
      <c r="O120" s="121">
        <f t="shared" si="96"/>
        <v>0</v>
      </c>
      <c r="P120" s="123">
        <f t="shared" si="97"/>
        <v>0</v>
      </c>
    </row>
    <row r="121" spans="1:16" ht="26.4" x14ac:dyDescent="0.2">
      <c r="A121" s="110">
        <v>4</v>
      </c>
      <c r="B121" s="106"/>
      <c r="C121" s="99" t="s">
        <v>108</v>
      </c>
      <c r="D121" s="106" t="s">
        <v>109</v>
      </c>
      <c r="E121" s="112">
        <f>E119*5*1.2</f>
        <v>11.16</v>
      </c>
      <c r="F121" s="120"/>
      <c r="G121" s="121"/>
      <c r="H121" s="122"/>
      <c r="I121" s="121"/>
      <c r="J121" s="121"/>
      <c r="K121" s="179">
        <f t="shared" si="92"/>
        <v>0</v>
      </c>
      <c r="L121" s="184">
        <f t="shared" si="93"/>
        <v>0</v>
      </c>
      <c r="M121" s="121">
        <f t="shared" si="94"/>
        <v>0</v>
      </c>
      <c r="N121" s="121">
        <f t="shared" si="95"/>
        <v>0</v>
      </c>
      <c r="O121" s="121">
        <f t="shared" si="96"/>
        <v>0</v>
      </c>
      <c r="P121" s="123">
        <f t="shared" si="97"/>
        <v>0</v>
      </c>
    </row>
    <row r="122" spans="1:16" ht="13.2" x14ac:dyDescent="0.2">
      <c r="A122" s="110"/>
      <c r="B122" s="106"/>
      <c r="C122" s="174" t="s">
        <v>486</v>
      </c>
      <c r="D122" s="106"/>
      <c r="E122" s="112"/>
      <c r="F122" s="120"/>
      <c r="G122" s="121"/>
      <c r="H122" s="122"/>
      <c r="I122" s="121"/>
      <c r="J122" s="121"/>
      <c r="K122" s="179"/>
      <c r="L122" s="184"/>
      <c r="M122" s="121"/>
      <c r="N122" s="121"/>
      <c r="O122" s="121"/>
      <c r="P122" s="123"/>
    </row>
    <row r="123" spans="1:16" ht="13.2" x14ac:dyDescent="0.2">
      <c r="A123" s="113">
        <v>1</v>
      </c>
      <c r="B123" s="149" t="s">
        <v>60</v>
      </c>
      <c r="C123" s="100" t="s">
        <v>524</v>
      </c>
      <c r="D123" s="106" t="s">
        <v>62</v>
      </c>
      <c r="E123" s="112">
        <v>55.68</v>
      </c>
      <c r="F123" s="120"/>
      <c r="G123" s="121"/>
      <c r="H123" s="122">
        <f t="shared" ref="H123:H131" si="98">ROUND(F123*G123,2)</f>
        <v>0</v>
      </c>
      <c r="I123" s="121"/>
      <c r="J123" s="121"/>
      <c r="K123" s="179">
        <f t="shared" ref="K123" si="99">ROUND(H123+J123+I123,2)</f>
        <v>0</v>
      </c>
      <c r="L123" s="184">
        <f t="shared" ref="L123:L138" si="100">ROUND(E123*F123,2)</f>
        <v>0</v>
      </c>
      <c r="M123" s="121">
        <f t="shared" ref="M123:M138" si="101">ROUND(E123*H123,2)</f>
        <v>0</v>
      </c>
      <c r="N123" s="121">
        <f t="shared" ref="N123:N138" si="102">ROUND(E123*I123,2)</f>
        <v>0</v>
      </c>
      <c r="O123" s="121">
        <f t="shared" ref="O123" si="103">ROUND(E123*J123,2)</f>
        <v>0</v>
      </c>
      <c r="P123" s="123">
        <f t="shared" ref="P123:P138" si="104">ROUND(O123+N123+M123,2)</f>
        <v>0</v>
      </c>
    </row>
    <row r="124" spans="1:16" ht="39.6" x14ac:dyDescent="0.2">
      <c r="A124" s="110">
        <v>2</v>
      </c>
      <c r="B124" s="106" t="s">
        <v>60</v>
      </c>
      <c r="C124" s="100" t="s">
        <v>525</v>
      </c>
      <c r="D124" s="106" t="s">
        <v>73</v>
      </c>
      <c r="E124" s="112">
        <f>14.48*1.05</f>
        <v>15.204000000000001</v>
      </c>
      <c r="F124" s="120"/>
      <c r="G124" s="121"/>
      <c r="H124" s="122">
        <f t="shared" si="98"/>
        <v>0</v>
      </c>
      <c r="I124" s="121"/>
      <c r="J124" s="121"/>
      <c r="K124" s="179"/>
      <c r="L124" s="184">
        <f t="shared" si="100"/>
        <v>0</v>
      </c>
      <c r="M124" s="121">
        <f t="shared" si="101"/>
        <v>0</v>
      </c>
      <c r="N124" s="121">
        <f t="shared" si="102"/>
        <v>0</v>
      </c>
      <c r="O124" s="121">
        <f>ROUND(E124*J124,2)</f>
        <v>0</v>
      </c>
      <c r="P124" s="123">
        <f t="shared" si="104"/>
        <v>0</v>
      </c>
    </row>
    <row r="125" spans="1:16" ht="26.4" x14ac:dyDescent="0.2">
      <c r="A125" s="113">
        <v>3</v>
      </c>
      <c r="B125" s="149" t="s">
        <v>60</v>
      </c>
      <c r="C125" s="108" t="s">
        <v>487</v>
      </c>
      <c r="D125" s="135" t="s">
        <v>62</v>
      </c>
      <c r="E125" s="109">
        <v>13.2</v>
      </c>
      <c r="F125" s="120"/>
      <c r="G125" s="121"/>
      <c r="H125" s="122">
        <f t="shared" si="98"/>
        <v>0</v>
      </c>
      <c r="I125" s="121"/>
      <c r="J125" s="121"/>
      <c r="K125" s="179">
        <f t="shared" ref="K125" si="105">ROUND(H125+J125+I125,2)</f>
        <v>0</v>
      </c>
      <c r="L125" s="184">
        <f t="shared" si="100"/>
        <v>0</v>
      </c>
      <c r="M125" s="121">
        <f t="shared" si="101"/>
        <v>0</v>
      </c>
      <c r="N125" s="121">
        <f t="shared" si="102"/>
        <v>0</v>
      </c>
      <c r="O125" s="121">
        <f t="shared" ref="O125" si="106">ROUND(E125*J125,2)</f>
        <v>0</v>
      </c>
      <c r="P125" s="123">
        <f t="shared" si="104"/>
        <v>0</v>
      </c>
    </row>
    <row r="126" spans="1:16" ht="13.2" x14ac:dyDescent="0.2">
      <c r="A126" s="113">
        <v>4</v>
      </c>
      <c r="B126" s="106" t="s">
        <v>60</v>
      </c>
      <c r="C126" s="100" t="s">
        <v>488</v>
      </c>
      <c r="D126" s="106" t="s">
        <v>62</v>
      </c>
      <c r="E126" s="112">
        <v>12</v>
      </c>
      <c r="F126" s="120"/>
      <c r="G126" s="121"/>
      <c r="H126" s="122">
        <f t="shared" si="98"/>
        <v>0</v>
      </c>
      <c r="I126" s="121"/>
      <c r="J126" s="121"/>
      <c r="K126" s="179"/>
      <c r="L126" s="184">
        <f t="shared" si="100"/>
        <v>0</v>
      </c>
      <c r="M126" s="121">
        <f t="shared" si="101"/>
        <v>0</v>
      </c>
      <c r="N126" s="121">
        <f t="shared" si="102"/>
        <v>0</v>
      </c>
      <c r="O126" s="121">
        <f>ROUND(E126*J126,2)</f>
        <v>0</v>
      </c>
      <c r="P126" s="123">
        <f t="shared" si="104"/>
        <v>0</v>
      </c>
    </row>
    <row r="127" spans="1:16" ht="13.2" x14ac:dyDescent="0.2">
      <c r="A127" s="110">
        <v>5</v>
      </c>
      <c r="B127" s="106" t="s">
        <v>60</v>
      </c>
      <c r="C127" s="100" t="s">
        <v>489</v>
      </c>
      <c r="D127" s="106" t="s">
        <v>62</v>
      </c>
      <c r="E127" s="112">
        <v>43.68</v>
      </c>
      <c r="F127" s="120"/>
      <c r="G127" s="121"/>
      <c r="H127" s="122">
        <f t="shared" si="98"/>
        <v>0</v>
      </c>
      <c r="I127" s="121"/>
      <c r="J127" s="121"/>
      <c r="K127" s="179"/>
      <c r="L127" s="184">
        <f t="shared" si="100"/>
        <v>0</v>
      </c>
      <c r="M127" s="121">
        <f t="shared" si="101"/>
        <v>0</v>
      </c>
      <c r="N127" s="121">
        <f t="shared" si="102"/>
        <v>0</v>
      </c>
      <c r="O127" s="121">
        <f>ROUND(E127*J127,2)</f>
        <v>0</v>
      </c>
      <c r="P127" s="123">
        <f t="shared" si="104"/>
        <v>0</v>
      </c>
    </row>
    <row r="128" spans="1:16" ht="26.4" x14ac:dyDescent="0.2">
      <c r="A128" s="113">
        <v>6</v>
      </c>
      <c r="B128" s="106" t="s">
        <v>60</v>
      </c>
      <c r="C128" s="100" t="s">
        <v>490</v>
      </c>
      <c r="D128" s="106" t="s">
        <v>62</v>
      </c>
      <c r="E128" s="112">
        <v>12</v>
      </c>
      <c r="F128" s="120"/>
      <c r="G128" s="121"/>
      <c r="H128" s="122">
        <f t="shared" si="98"/>
        <v>0</v>
      </c>
      <c r="I128" s="121"/>
      <c r="J128" s="121"/>
      <c r="K128" s="179">
        <f t="shared" ref="K128:K138" si="107">ROUND(H128+J128+I128,2)</f>
        <v>0</v>
      </c>
      <c r="L128" s="184">
        <f t="shared" si="100"/>
        <v>0</v>
      </c>
      <c r="M128" s="121">
        <f t="shared" si="101"/>
        <v>0</v>
      </c>
      <c r="N128" s="121">
        <f t="shared" si="102"/>
        <v>0</v>
      </c>
      <c r="O128" s="121">
        <f t="shared" ref="O128:O138" si="108">ROUND(E128*J128,2)</f>
        <v>0</v>
      </c>
      <c r="P128" s="123">
        <f t="shared" si="104"/>
        <v>0</v>
      </c>
    </row>
    <row r="129" spans="1:16" ht="13.2" x14ac:dyDescent="0.2">
      <c r="A129" s="113">
        <v>7</v>
      </c>
      <c r="B129" s="106" t="s">
        <v>60</v>
      </c>
      <c r="C129" s="100" t="s">
        <v>491</v>
      </c>
      <c r="D129" s="106" t="s">
        <v>62</v>
      </c>
      <c r="E129" s="112">
        <v>36.479999999999997</v>
      </c>
      <c r="F129" s="120"/>
      <c r="G129" s="121"/>
      <c r="H129" s="122">
        <f t="shared" si="98"/>
        <v>0</v>
      </c>
      <c r="I129" s="121"/>
      <c r="J129" s="121"/>
      <c r="K129" s="179">
        <f t="shared" si="107"/>
        <v>0</v>
      </c>
      <c r="L129" s="184">
        <f t="shared" si="100"/>
        <v>0</v>
      </c>
      <c r="M129" s="121">
        <f t="shared" si="101"/>
        <v>0</v>
      </c>
      <c r="N129" s="121">
        <f t="shared" si="102"/>
        <v>0</v>
      </c>
      <c r="O129" s="121">
        <f t="shared" si="108"/>
        <v>0</v>
      </c>
      <c r="P129" s="123">
        <f t="shared" si="104"/>
        <v>0</v>
      </c>
    </row>
    <row r="130" spans="1:16" ht="13.2" x14ac:dyDescent="0.2">
      <c r="A130" s="110">
        <v>8</v>
      </c>
      <c r="B130" s="106" t="s">
        <v>60</v>
      </c>
      <c r="C130" s="100" t="s">
        <v>103</v>
      </c>
      <c r="D130" s="106" t="s">
        <v>68</v>
      </c>
      <c r="E130" s="112">
        <v>1</v>
      </c>
      <c r="F130" s="120"/>
      <c r="G130" s="121"/>
      <c r="H130" s="122">
        <f t="shared" si="98"/>
        <v>0</v>
      </c>
      <c r="I130" s="121"/>
      <c r="J130" s="121"/>
      <c r="K130" s="179">
        <f t="shared" si="107"/>
        <v>0</v>
      </c>
      <c r="L130" s="184">
        <f t="shared" si="100"/>
        <v>0</v>
      </c>
      <c r="M130" s="121">
        <f t="shared" si="101"/>
        <v>0</v>
      </c>
      <c r="N130" s="121">
        <f t="shared" si="102"/>
        <v>0</v>
      </c>
      <c r="O130" s="121">
        <f t="shared" si="108"/>
        <v>0</v>
      </c>
      <c r="P130" s="123">
        <f t="shared" si="104"/>
        <v>0</v>
      </c>
    </row>
    <row r="131" spans="1:16" ht="13.2" x14ac:dyDescent="0.2">
      <c r="A131" s="113">
        <v>9</v>
      </c>
      <c r="B131" s="106" t="s">
        <v>60</v>
      </c>
      <c r="C131" s="100" t="s">
        <v>112</v>
      </c>
      <c r="D131" s="106" t="s">
        <v>73</v>
      </c>
      <c r="E131" s="112">
        <f>E124</f>
        <v>15.204000000000001</v>
      </c>
      <c r="F131" s="120"/>
      <c r="G131" s="121"/>
      <c r="H131" s="122">
        <f t="shared" si="98"/>
        <v>0</v>
      </c>
      <c r="I131" s="121"/>
      <c r="J131" s="121"/>
      <c r="K131" s="179">
        <f t="shared" si="107"/>
        <v>0</v>
      </c>
      <c r="L131" s="184">
        <f t="shared" si="100"/>
        <v>0</v>
      </c>
      <c r="M131" s="121">
        <f t="shared" si="101"/>
        <v>0</v>
      </c>
      <c r="N131" s="121">
        <f t="shared" si="102"/>
        <v>0</v>
      </c>
      <c r="O131" s="121">
        <f t="shared" si="108"/>
        <v>0</v>
      </c>
      <c r="P131" s="123">
        <f t="shared" si="104"/>
        <v>0</v>
      </c>
    </row>
    <row r="132" spans="1:16" ht="12.75" customHeight="1" x14ac:dyDescent="0.2">
      <c r="A132" s="113">
        <v>10</v>
      </c>
      <c r="B132" s="106"/>
      <c r="C132" s="99" t="s">
        <v>113</v>
      </c>
      <c r="D132" s="106" t="s">
        <v>96</v>
      </c>
      <c r="E132" s="112">
        <f>E131*0.12</f>
        <v>1.8244800000000001</v>
      </c>
      <c r="F132" s="120"/>
      <c r="G132" s="121"/>
      <c r="H132" s="122"/>
      <c r="I132" s="121"/>
      <c r="J132" s="121"/>
      <c r="K132" s="179">
        <f t="shared" si="107"/>
        <v>0</v>
      </c>
      <c r="L132" s="184">
        <f t="shared" si="100"/>
        <v>0</v>
      </c>
      <c r="M132" s="121">
        <f t="shared" si="101"/>
        <v>0</v>
      </c>
      <c r="N132" s="121">
        <f t="shared" si="102"/>
        <v>0</v>
      </c>
      <c r="O132" s="121">
        <f t="shared" si="108"/>
        <v>0</v>
      </c>
      <c r="P132" s="123">
        <f t="shared" si="104"/>
        <v>0</v>
      </c>
    </row>
    <row r="133" spans="1:16" ht="13.2" x14ac:dyDescent="0.2">
      <c r="A133" s="110">
        <v>11</v>
      </c>
      <c r="B133" s="106"/>
      <c r="C133" s="99" t="s">
        <v>376</v>
      </c>
      <c r="D133" s="106" t="s">
        <v>99</v>
      </c>
      <c r="E133" s="112">
        <f>E131*4.5</f>
        <v>68.418000000000006</v>
      </c>
      <c r="F133" s="120"/>
      <c r="G133" s="121"/>
      <c r="H133" s="122"/>
      <c r="I133" s="121"/>
      <c r="J133" s="121"/>
      <c r="K133" s="179">
        <f t="shared" si="107"/>
        <v>0</v>
      </c>
      <c r="L133" s="184">
        <f t="shared" si="100"/>
        <v>0</v>
      </c>
      <c r="M133" s="121">
        <f t="shared" si="101"/>
        <v>0</v>
      </c>
      <c r="N133" s="121">
        <f t="shared" si="102"/>
        <v>0</v>
      </c>
      <c r="O133" s="121">
        <f t="shared" si="108"/>
        <v>0</v>
      </c>
      <c r="P133" s="123">
        <f t="shared" si="104"/>
        <v>0</v>
      </c>
    </row>
    <row r="134" spans="1:16" ht="13.2" x14ac:dyDescent="0.2">
      <c r="A134" s="113">
        <v>12</v>
      </c>
      <c r="B134" s="106"/>
      <c r="C134" s="99" t="s">
        <v>101</v>
      </c>
      <c r="D134" s="106" t="s">
        <v>73</v>
      </c>
      <c r="E134" s="112">
        <f>E131*1.2</f>
        <v>18.244800000000001</v>
      </c>
      <c r="F134" s="120"/>
      <c r="G134" s="121"/>
      <c r="H134" s="122"/>
      <c r="I134" s="121"/>
      <c r="J134" s="121"/>
      <c r="K134" s="179">
        <f t="shared" si="107"/>
        <v>0</v>
      </c>
      <c r="L134" s="184">
        <f t="shared" si="100"/>
        <v>0</v>
      </c>
      <c r="M134" s="121">
        <f t="shared" si="101"/>
        <v>0</v>
      </c>
      <c r="N134" s="121">
        <f t="shared" si="102"/>
        <v>0</v>
      </c>
      <c r="O134" s="121">
        <f t="shared" si="108"/>
        <v>0</v>
      </c>
      <c r="P134" s="123">
        <f t="shared" si="104"/>
        <v>0</v>
      </c>
    </row>
    <row r="135" spans="1:16" ht="13.2" x14ac:dyDescent="0.2">
      <c r="A135" s="113">
        <v>13</v>
      </c>
      <c r="B135" s="106"/>
      <c r="C135" s="99" t="s">
        <v>115</v>
      </c>
      <c r="D135" s="106" t="s">
        <v>62</v>
      </c>
      <c r="E135" s="112">
        <f>1.1*1.1</f>
        <v>1.2100000000000002</v>
      </c>
      <c r="F135" s="120"/>
      <c r="G135" s="121"/>
      <c r="H135" s="122"/>
      <c r="I135" s="121"/>
      <c r="J135" s="121"/>
      <c r="K135" s="179">
        <f t="shared" si="107"/>
        <v>0</v>
      </c>
      <c r="L135" s="184">
        <f t="shared" si="100"/>
        <v>0</v>
      </c>
      <c r="M135" s="121">
        <f t="shared" si="101"/>
        <v>0</v>
      </c>
      <c r="N135" s="121">
        <f t="shared" si="102"/>
        <v>0</v>
      </c>
      <c r="O135" s="121">
        <f t="shared" si="108"/>
        <v>0</v>
      </c>
      <c r="P135" s="123">
        <f t="shared" si="104"/>
        <v>0</v>
      </c>
    </row>
    <row r="136" spans="1:16" ht="13.2" x14ac:dyDescent="0.2">
      <c r="A136" s="110">
        <v>14</v>
      </c>
      <c r="B136" s="106" t="s">
        <v>60</v>
      </c>
      <c r="C136" s="100" t="s">
        <v>117</v>
      </c>
      <c r="D136" s="106" t="s">
        <v>73</v>
      </c>
      <c r="E136" s="112">
        <f>(E129+E128)*0.25</f>
        <v>12.12</v>
      </c>
      <c r="F136" s="120"/>
      <c r="G136" s="121"/>
      <c r="H136" s="122">
        <f t="shared" ref="H136" si="109">ROUND(F136*G136,2)</f>
        <v>0</v>
      </c>
      <c r="I136" s="121"/>
      <c r="J136" s="121"/>
      <c r="K136" s="179">
        <f t="shared" si="107"/>
        <v>0</v>
      </c>
      <c r="L136" s="184">
        <f t="shared" si="100"/>
        <v>0</v>
      </c>
      <c r="M136" s="121">
        <f t="shared" si="101"/>
        <v>0</v>
      </c>
      <c r="N136" s="121">
        <f t="shared" si="102"/>
        <v>0</v>
      </c>
      <c r="O136" s="121">
        <f t="shared" si="108"/>
        <v>0</v>
      </c>
      <c r="P136" s="123">
        <f t="shared" si="104"/>
        <v>0</v>
      </c>
    </row>
    <row r="137" spans="1:16" ht="26.4" x14ac:dyDescent="0.2">
      <c r="A137" s="113">
        <v>15</v>
      </c>
      <c r="B137" s="106"/>
      <c r="C137" s="99" t="s">
        <v>294</v>
      </c>
      <c r="D137" s="106" t="s">
        <v>96</v>
      </c>
      <c r="E137" s="112">
        <f>E136*0.15</f>
        <v>1.8179999999999998</v>
      </c>
      <c r="F137" s="120"/>
      <c r="G137" s="121"/>
      <c r="H137" s="122"/>
      <c r="I137" s="121"/>
      <c r="J137" s="121"/>
      <c r="K137" s="179">
        <f t="shared" si="107"/>
        <v>0</v>
      </c>
      <c r="L137" s="184">
        <f t="shared" si="100"/>
        <v>0</v>
      </c>
      <c r="M137" s="121">
        <f t="shared" si="101"/>
        <v>0</v>
      </c>
      <c r="N137" s="121">
        <f t="shared" si="102"/>
        <v>0</v>
      </c>
      <c r="O137" s="121">
        <f t="shared" si="108"/>
        <v>0</v>
      </c>
      <c r="P137" s="123">
        <f t="shared" si="104"/>
        <v>0</v>
      </c>
    </row>
    <row r="138" spans="1:16" ht="26.4" x14ac:dyDescent="0.2">
      <c r="A138" s="113">
        <v>16</v>
      </c>
      <c r="B138" s="106"/>
      <c r="C138" s="99" t="s">
        <v>405</v>
      </c>
      <c r="D138" s="106" t="s">
        <v>99</v>
      </c>
      <c r="E138" s="112">
        <f>E136*4</f>
        <v>48.48</v>
      </c>
      <c r="F138" s="120"/>
      <c r="G138" s="121"/>
      <c r="H138" s="122"/>
      <c r="I138" s="121"/>
      <c r="J138" s="121"/>
      <c r="K138" s="179">
        <f t="shared" si="107"/>
        <v>0</v>
      </c>
      <c r="L138" s="184">
        <f t="shared" si="100"/>
        <v>0</v>
      </c>
      <c r="M138" s="121">
        <f t="shared" si="101"/>
        <v>0</v>
      </c>
      <c r="N138" s="121">
        <f t="shared" si="102"/>
        <v>0</v>
      </c>
      <c r="O138" s="121">
        <f t="shared" si="108"/>
        <v>0</v>
      </c>
      <c r="P138" s="123">
        <f t="shared" si="104"/>
        <v>0</v>
      </c>
    </row>
    <row r="139" spans="1:16" ht="26.4" x14ac:dyDescent="0.2">
      <c r="A139" s="110"/>
      <c r="B139" s="106"/>
      <c r="C139" s="174" t="s">
        <v>492</v>
      </c>
      <c r="D139" s="106"/>
      <c r="E139" s="112"/>
      <c r="F139" s="120"/>
      <c r="G139" s="121"/>
      <c r="H139" s="122"/>
      <c r="I139" s="121"/>
      <c r="J139" s="121"/>
      <c r="K139" s="179"/>
      <c r="L139" s="184"/>
      <c r="M139" s="121"/>
      <c r="N139" s="121"/>
      <c r="O139" s="121"/>
      <c r="P139" s="123"/>
    </row>
    <row r="140" spans="1:16" ht="13.2" x14ac:dyDescent="0.2">
      <c r="A140" s="113">
        <v>1</v>
      </c>
      <c r="B140" s="149" t="s">
        <v>60</v>
      </c>
      <c r="C140" s="100" t="s">
        <v>493</v>
      </c>
      <c r="D140" s="106" t="s">
        <v>62</v>
      </c>
      <c r="E140" s="112">
        <v>4.6399999999999997</v>
      </c>
      <c r="F140" s="120"/>
      <c r="G140" s="121"/>
      <c r="H140" s="122">
        <f t="shared" ref="H140:H147" si="110">ROUND(F140*G140,2)</f>
        <v>0</v>
      </c>
      <c r="I140" s="121"/>
      <c r="J140" s="121"/>
      <c r="K140" s="179">
        <f t="shared" ref="K140:K141" si="111">ROUND(H140+J140+I140,2)</f>
        <v>0</v>
      </c>
      <c r="L140" s="184">
        <f t="shared" ref="L140:L147" si="112">ROUND(E140*F140,2)</f>
        <v>0</v>
      </c>
      <c r="M140" s="121">
        <f t="shared" ref="M140:M147" si="113">ROUND(E140*H140,2)</f>
        <v>0</v>
      </c>
      <c r="N140" s="121">
        <f t="shared" ref="N140:N147" si="114">ROUND(E140*I140,2)</f>
        <v>0</v>
      </c>
      <c r="O140" s="121">
        <f t="shared" ref="O140:O141" si="115">ROUND(E140*J140,2)</f>
        <v>0</v>
      </c>
      <c r="P140" s="123">
        <f t="shared" ref="P140:P147" si="116">ROUND(O140+N140+M140,2)</f>
        <v>0</v>
      </c>
    </row>
    <row r="141" spans="1:16" ht="13.2" x14ac:dyDescent="0.2">
      <c r="A141" s="110">
        <v>2</v>
      </c>
      <c r="B141" s="106" t="s">
        <v>60</v>
      </c>
      <c r="C141" s="100" t="s">
        <v>494</v>
      </c>
      <c r="D141" s="106" t="s">
        <v>73</v>
      </c>
      <c r="E141" s="112">
        <v>1.0900000000000001</v>
      </c>
      <c r="F141" s="120"/>
      <c r="G141" s="121"/>
      <c r="H141" s="122">
        <f t="shared" si="110"/>
        <v>0</v>
      </c>
      <c r="I141" s="121"/>
      <c r="J141" s="121"/>
      <c r="K141" s="179">
        <f t="shared" si="111"/>
        <v>0</v>
      </c>
      <c r="L141" s="184">
        <f t="shared" si="112"/>
        <v>0</v>
      </c>
      <c r="M141" s="121">
        <f t="shared" si="113"/>
        <v>0</v>
      </c>
      <c r="N141" s="121">
        <f t="shared" si="114"/>
        <v>0</v>
      </c>
      <c r="O141" s="121">
        <f t="shared" si="115"/>
        <v>0</v>
      </c>
      <c r="P141" s="123">
        <f t="shared" si="116"/>
        <v>0</v>
      </c>
    </row>
    <row r="142" spans="1:16" ht="13.2" x14ac:dyDescent="0.2">
      <c r="A142" s="110">
        <v>3</v>
      </c>
      <c r="B142" s="106" t="s">
        <v>60</v>
      </c>
      <c r="C142" s="100" t="s">
        <v>495</v>
      </c>
      <c r="D142" s="106" t="s">
        <v>62</v>
      </c>
      <c r="E142" s="112">
        <v>3.64</v>
      </c>
      <c r="F142" s="120"/>
      <c r="G142" s="121"/>
      <c r="H142" s="122">
        <f t="shared" si="110"/>
        <v>0</v>
      </c>
      <c r="I142" s="121"/>
      <c r="J142" s="121"/>
      <c r="K142" s="179"/>
      <c r="L142" s="184">
        <f t="shared" si="112"/>
        <v>0</v>
      </c>
      <c r="M142" s="121">
        <f t="shared" si="113"/>
        <v>0</v>
      </c>
      <c r="N142" s="121">
        <f t="shared" si="114"/>
        <v>0</v>
      </c>
      <c r="O142" s="121">
        <f>ROUND(E142*J142,2)</f>
        <v>0</v>
      </c>
      <c r="P142" s="123">
        <f t="shared" si="116"/>
        <v>0</v>
      </c>
    </row>
    <row r="143" spans="1:16" ht="13.2" x14ac:dyDescent="0.2">
      <c r="A143" s="110">
        <v>4</v>
      </c>
      <c r="B143" s="106" t="s">
        <v>60</v>
      </c>
      <c r="C143" s="100" t="s">
        <v>128</v>
      </c>
      <c r="D143" s="106" t="s">
        <v>73</v>
      </c>
      <c r="E143" s="112">
        <v>1.0900000000000001</v>
      </c>
      <c r="F143" s="120"/>
      <c r="G143" s="121"/>
      <c r="H143" s="122">
        <f t="shared" si="110"/>
        <v>0</v>
      </c>
      <c r="I143" s="121"/>
      <c r="J143" s="121"/>
      <c r="K143" s="179">
        <f t="shared" ref="K143:K147" si="117">ROUND(H143+J143+I143,2)</f>
        <v>0</v>
      </c>
      <c r="L143" s="184">
        <f t="shared" si="112"/>
        <v>0</v>
      </c>
      <c r="M143" s="121">
        <f t="shared" si="113"/>
        <v>0</v>
      </c>
      <c r="N143" s="121">
        <f t="shared" si="114"/>
        <v>0</v>
      </c>
      <c r="O143" s="121">
        <f t="shared" ref="O143:O147" si="118">ROUND(E143*J143,2)</f>
        <v>0</v>
      </c>
      <c r="P143" s="123">
        <f t="shared" si="116"/>
        <v>0</v>
      </c>
    </row>
    <row r="144" spans="1:16" ht="13.2" x14ac:dyDescent="0.2">
      <c r="A144" s="110">
        <v>5</v>
      </c>
      <c r="B144" s="106" t="s">
        <v>60</v>
      </c>
      <c r="C144" s="100" t="s">
        <v>528</v>
      </c>
      <c r="D144" s="106" t="s">
        <v>73</v>
      </c>
      <c r="E144" s="112">
        <f>E143</f>
        <v>1.0900000000000001</v>
      </c>
      <c r="F144" s="120"/>
      <c r="G144" s="121"/>
      <c r="H144" s="122">
        <f t="shared" si="110"/>
        <v>0</v>
      </c>
      <c r="I144" s="121"/>
      <c r="J144" s="121"/>
      <c r="K144" s="179">
        <f t="shared" si="117"/>
        <v>0</v>
      </c>
      <c r="L144" s="184">
        <f t="shared" si="112"/>
        <v>0</v>
      </c>
      <c r="M144" s="121">
        <f t="shared" si="113"/>
        <v>0</v>
      </c>
      <c r="N144" s="121">
        <f t="shared" si="114"/>
        <v>0</v>
      </c>
      <c r="O144" s="121">
        <f t="shared" si="118"/>
        <v>0</v>
      </c>
      <c r="P144" s="123">
        <f t="shared" si="116"/>
        <v>0</v>
      </c>
    </row>
    <row r="145" spans="1:16" ht="13.2" x14ac:dyDescent="0.2">
      <c r="A145" s="113">
        <v>6</v>
      </c>
      <c r="B145" s="106"/>
      <c r="C145" s="99" t="s">
        <v>262</v>
      </c>
      <c r="D145" s="106" t="s">
        <v>96</v>
      </c>
      <c r="E145" s="112">
        <f>E144*0.17</f>
        <v>0.18530000000000002</v>
      </c>
      <c r="F145" s="120"/>
      <c r="G145" s="121"/>
      <c r="H145" s="122"/>
      <c r="I145" s="121"/>
      <c r="J145" s="121"/>
      <c r="K145" s="179">
        <f t="shared" si="117"/>
        <v>0</v>
      </c>
      <c r="L145" s="184">
        <f t="shared" si="112"/>
        <v>0</v>
      </c>
      <c r="M145" s="121">
        <f t="shared" si="113"/>
        <v>0</v>
      </c>
      <c r="N145" s="121">
        <f t="shared" si="114"/>
        <v>0</v>
      </c>
      <c r="O145" s="121">
        <f t="shared" si="118"/>
        <v>0</v>
      </c>
      <c r="P145" s="123">
        <f t="shared" si="116"/>
        <v>0</v>
      </c>
    </row>
    <row r="146" spans="1:16" ht="13.2" x14ac:dyDescent="0.2">
      <c r="A146" s="110">
        <v>7</v>
      </c>
      <c r="B146" s="106"/>
      <c r="C146" s="99" t="s">
        <v>581</v>
      </c>
      <c r="D146" s="106" t="s">
        <v>96</v>
      </c>
      <c r="E146" s="152">
        <f>E144*0.12*2*1.05</f>
        <v>0.27468000000000004</v>
      </c>
      <c r="F146" s="120"/>
      <c r="G146" s="121"/>
      <c r="H146" s="122"/>
      <c r="I146" s="121"/>
      <c r="J146" s="121"/>
      <c r="K146" s="179">
        <f t="shared" si="117"/>
        <v>0</v>
      </c>
      <c r="L146" s="184">
        <f t="shared" si="112"/>
        <v>0</v>
      </c>
      <c r="M146" s="121">
        <f t="shared" si="113"/>
        <v>0</v>
      </c>
      <c r="N146" s="121">
        <f t="shared" si="114"/>
        <v>0</v>
      </c>
      <c r="O146" s="121">
        <f t="shared" si="118"/>
        <v>0</v>
      </c>
      <c r="P146" s="123">
        <f t="shared" si="116"/>
        <v>0</v>
      </c>
    </row>
    <row r="147" spans="1:16" ht="26.4" x14ac:dyDescent="0.2">
      <c r="A147" s="110">
        <v>8</v>
      </c>
      <c r="B147" s="106" t="s">
        <v>60</v>
      </c>
      <c r="C147" s="100" t="s">
        <v>496</v>
      </c>
      <c r="D147" s="106" t="s">
        <v>62</v>
      </c>
      <c r="E147" s="112">
        <v>1</v>
      </c>
      <c r="F147" s="120"/>
      <c r="G147" s="121"/>
      <c r="H147" s="122">
        <f t="shared" si="110"/>
        <v>0</v>
      </c>
      <c r="I147" s="121"/>
      <c r="J147" s="121"/>
      <c r="K147" s="179">
        <f t="shared" si="117"/>
        <v>0</v>
      </c>
      <c r="L147" s="184">
        <f t="shared" si="112"/>
        <v>0</v>
      </c>
      <c r="M147" s="121">
        <f t="shared" si="113"/>
        <v>0</v>
      </c>
      <c r="N147" s="121">
        <f t="shared" si="114"/>
        <v>0</v>
      </c>
      <c r="O147" s="121">
        <f t="shared" si="118"/>
        <v>0</v>
      </c>
      <c r="P147" s="123">
        <f t="shared" si="116"/>
        <v>0</v>
      </c>
    </row>
    <row r="148" spans="1:16" ht="26.4" x14ac:dyDescent="0.2">
      <c r="A148" s="163"/>
      <c r="B148" s="164"/>
      <c r="C148" s="165" t="s">
        <v>503</v>
      </c>
      <c r="D148" s="166"/>
      <c r="E148" s="167"/>
      <c r="F148" s="168"/>
      <c r="G148" s="169"/>
      <c r="H148" s="169"/>
      <c r="I148" s="169"/>
      <c r="J148" s="169"/>
      <c r="K148" s="194"/>
      <c r="L148" s="195"/>
      <c r="M148" s="172"/>
      <c r="N148" s="172"/>
      <c r="O148" s="172"/>
      <c r="P148" s="173"/>
    </row>
    <row r="149" spans="1:16" ht="26.4" x14ac:dyDescent="0.2">
      <c r="A149" s="110">
        <v>1</v>
      </c>
      <c r="B149" s="106" t="s">
        <v>60</v>
      </c>
      <c r="C149" s="100" t="s">
        <v>504</v>
      </c>
      <c r="D149" s="106" t="s">
        <v>62</v>
      </c>
      <c r="E149" s="112">
        <v>404.4</v>
      </c>
      <c r="F149" s="120"/>
      <c r="G149" s="121"/>
      <c r="H149" s="122">
        <f t="shared" ref="H149:H229" si="119">ROUND(F149*G149,2)</f>
        <v>0</v>
      </c>
      <c r="I149" s="121"/>
      <c r="J149" s="121"/>
      <c r="K149" s="179">
        <f t="shared" ref="K149" si="120">ROUND(H149+J149+I149,2)</f>
        <v>0</v>
      </c>
      <c r="L149" s="184">
        <f t="shared" ref="L149:L229" si="121">ROUND(E149*F149,2)</f>
        <v>0</v>
      </c>
      <c r="M149" s="121">
        <f t="shared" ref="M149:M229" si="122">ROUND(E149*H149,2)</f>
        <v>0</v>
      </c>
      <c r="N149" s="121">
        <f t="shared" ref="N149:N229" si="123">ROUND(E149*I149,2)</f>
        <v>0</v>
      </c>
      <c r="O149" s="121">
        <f t="shared" ref="O149" si="124">ROUND(E149*J149,2)</f>
        <v>0</v>
      </c>
      <c r="P149" s="123">
        <f t="shared" ref="P149:P229" si="125">ROUND(O149+N149+M149,2)</f>
        <v>0</v>
      </c>
    </row>
    <row r="150" spans="1:16" ht="39.6" x14ac:dyDescent="0.2">
      <c r="A150" s="110">
        <v>2</v>
      </c>
      <c r="B150" s="106" t="s">
        <v>60</v>
      </c>
      <c r="C150" s="100" t="s">
        <v>529</v>
      </c>
      <c r="D150" s="106" t="s">
        <v>73</v>
      </c>
      <c r="E150" s="112">
        <v>41.48</v>
      </c>
      <c r="F150" s="120"/>
      <c r="G150" s="121"/>
      <c r="H150" s="122">
        <f t="shared" si="119"/>
        <v>0</v>
      </c>
      <c r="I150" s="121"/>
      <c r="J150" s="121"/>
      <c r="K150" s="179">
        <f t="shared" si="25"/>
        <v>0</v>
      </c>
      <c r="L150" s="184">
        <f t="shared" si="121"/>
        <v>0</v>
      </c>
      <c r="M150" s="121">
        <f t="shared" si="122"/>
        <v>0</v>
      </c>
      <c r="N150" s="121">
        <f t="shared" si="123"/>
        <v>0</v>
      </c>
      <c r="O150" s="121">
        <f t="shared" si="26"/>
        <v>0</v>
      </c>
      <c r="P150" s="123">
        <f t="shared" si="125"/>
        <v>0</v>
      </c>
    </row>
    <row r="151" spans="1:16" ht="13.2" x14ac:dyDescent="0.2">
      <c r="A151" s="110"/>
      <c r="B151" s="106"/>
      <c r="C151" s="174" t="s">
        <v>582</v>
      </c>
      <c r="D151" s="106"/>
      <c r="E151" s="112"/>
      <c r="F151" s="120"/>
      <c r="G151" s="121"/>
      <c r="H151" s="122"/>
      <c r="I151" s="121"/>
      <c r="J151" s="121"/>
      <c r="K151" s="179"/>
      <c r="L151" s="184"/>
      <c r="M151" s="121"/>
      <c r="N151" s="121"/>
      <c r="O151" s="121"/>
      <c r="P151" s="123"/>
    </row>
    <row r="152" spans="1:16" ht="13.2" x14ac:dyDescent="0.2">
      <c r="A152" s="113">
        <v>1</v>
      </c>
      <c r="B152" s="149" t="s">
        <v>60</v>
      </c>
      <c r="C152" s="100" t="s">
        <v>524</v>
      </c>
      <c r="D152" s="106" t="s">
        <v>62</v>
      </c>
      <c r="E152" s="112">
        <v>404.4</v>
      </c>
      <c r="F152" s="120"/>
      <c r="G152" s="121"/>
      <c r="H152" s="122">
        <f t="shared" ref="H152:H160" si="126">ROUND(F152*G152,2)</f>
        <v>0</v>
      </c>
      <c r="I152" s="121"/>
      <c r="J152" s="121"/>
      <c r="K152" s="179">
        <f t="shared" ref="K152" si="127">ROUND(H152+J152+I152,2)</f>
        <v>0</v>
      </c>
      <c r="L152" s="184">
        <f t="shared" ref="L152:L167" si="128">ROUND(E152*F152,2)</f>
        <v>0</v>
      </c>
      <c r="M152" s="121">
        <f t="shared" ref="M152:M167" si="129">ROUND(E152*H152,2)</f>
        <v>0</v>
      </c>
      <c r="N152" s="121">
        <f t="shared" ref="N152:N167" si="130">ROUND(E152*I152,2)</f>
        <v>0</v>
      </c>
      <c r="O152" s="121">
        <f t="shared" ref="O152" si="131">ROUND(E152*J152,2)</f>
        <v>0</v>
      </c>
      <c r="P152" s="123">
        <f t="shared" ref="P152:P167" si="132">ROUND(O152+N152+M152,2)</f>
        <v>0</v>
      </c>
    </row>
    <row r="153" spans="1:16" ht="39.6" x14ac:dyDescent="0.2">
      <c r="A153" s="110">
        <v>2</v>
      </c>
      <c r="B153" s="106" t="s">
        <v>60</v>
      </c>
      <c r="C153" s="100" t="s">
        <v>525</v>
      </c>
      <c r="D153" s="106" t="s">
        <v>73</v>
      </c>
      <c r="E153" s="112">
        <f>60.66*1.05</f>
        <v>63.692999999999998</v>
      </c>
      <c r="F153" s="120"/>
      <c r="G153" s="121"/>
      <c r="H153" s="122">
        <f t="shared" si="126"/>
        <v>0</v>
      </c>
      <c r="I153" s="121"/>
      <c r="J153" s="121"/>
      <c r="K153" s="179"/>
      <c r="L153" s="184">
        <f t="shared" si="128"/>
        <v>0</v>
      </c>
      <c r="M153" s="121">
        <f t="shared" si="129"/>
        <v>0</v>
      </c>
      <c r="N153" s="121">
        <f t="shared" si="130"/>
        <v>0</v>
      </c>
      <c r="O153" s="121">
        <f>ROUND(E153*J153,2)</f>
        <v>0</v>
      </c>
      <c r="P153" s="123">
        <f t="shared" si="132"/>
        <v>0</v>
      </c>
    </row>
    <row r="154" spans="1:16" ht="26.4" x14ac:dyDescent="0.2">
      <c r="A154" s="113">
        <v>3</v>
      </c>
      <c r="B154" s="149" t="s">
        <v>60</v>
      </c>
      <c r="C154" s="108" t="s">
        <v>487</v>
      </c>
      <c r="D154" s="135" t="s">
        <v>62</v>
      </c>
      <c r="E154" s="109">
        <v>267.85000000000002</v>
      </c>
      <c r="F154" s="120"/>
      <c r="G154" s="121"/>
      <c r="H154" s="122">
        <f t="shared" si="126"/>
        <v>0</v>
      </c>
      <c r="I154" s="121"/>
      <c r="J154" s="121"/>
      <c r="K154" s="179">
        <f t="shared" ref="K154" si="133">ROUND(H154+J154+I154,2)</f>
        <v>0</v>
      </c>
      <c r="L154" s="184">
        <f t="shared" si="128"/>
        <v>0</v>
      </c>
      <c r="M154" s="121">
        <f t="shared" si="129"/>
        <v>0</v>
      </c>
      <c r="N154" s="121">
        <f t="shared" si="130"/>
        <v>0</v>
      </c>
      <c r="O154" s="121">
        <f t="shared" ref="O154" si="134">ROUND(E154*J154,2)</f>
        <v>0</v>
      </c>
      <c r="P154" s="123">
        <f t="shared" si="132"/>
        <v>0</v>
      </c>
    </row>
    <row r="155" spans="1:16" ht="13.2" x14ac:dyDescent="0.2">
      <c r="A155" s="113">
        <v>4</v>
      </c>
      <c r="B155" s="106" t="s">
        <v>60</v>
      </c>
      <c r="C155" s="100" t="s">
        <v>488</v>
      </c>
      <c r="D155" s="106" t="s">
        <v>62</v>
      </c>
      <c r="E155" s="112">
        <v>263.35000000000002</v>
      </c>
      <c r="F155" s="120"/>
      <c r="G155" s="121"/>
      <c r="H155" s="122">
        <f t="shared" si="126"/>
        <v>0</v>
      </c>
      <c r="I155" s="121"/>
      <c r="J155" s="121"/>
      <c r="K155" s="179"/>
      <c r="L155" s="184">
        <f t="shared" si="128"/>
        <v>0</v>
      </c>
      <c r="M155" s="121">
        <f t="shared" si="129"/>
        <v>0</v>
      </c>
      <c r="N155" s="121">
        <f t="shared" si="130"/>
        <v>0</v>
      </c>
      <c r="O155" s="121">
        <f>ROUND(E155*J155,2)</f>
        <v>0</v>
      </c>
      <c r="P155" s="123">
        <f t="shared" si="132"/>
        <v>0</v>
      </c>
    </row>
    <row r="156" spans="1:16" ht="26.4" x14ac:dyDescent="0.2">
      <c r="A156" s="110">
        <v>5</v>
      </c>
      <c r="B156" s="106" t="s">
        <v>60</v>
      </c>
      <c r="C156" s="100" t="s">
        <v>505</v>
      </c>
      <c r="D156" s="106" t="s">
        <v>62</v>
      </c>
      <c r="E156" s="112">
        <v>271.95</v>
      </c>
      <c r="F156" s="120"/>
      <c r="G156" s="121"/>
      <c r="H156" s="122">
        <f t="shared" si="126"/>
        <v>0</v>
      </c>
      <c r="I156" s="121"/>
      <c r="J156" s="121"/>
      <c r="K156" s="179"/>
      <c r="L156" s="184">
        <f t="shared" si="128"/>
        <v>0</v>
      </c>
      <c r="M156" s="121">
        <f t="shared" si="129"/>
        <v>0</v>
      </c>
      <c r="N156" s="121">
        <f t="shared" si="130"/>
        <v>0</v>
      </c>
      <c r="O156" s="121">
        <f>ROUND(E156*J156,2)</f>
        <v>0</v>
      </c>
      <c r="P156" s="123">
        <f t="shared" si="132"/>
        <v>0</v>
      </c>
    </row>
    <row r="157" spans="1:16" ht="26.4" x14ac:dyDescent="0.2">
      <c r="A157" s="113">
        <v>6</v>
      </c>
      <c r="B157" s="106" t="s">
        <v>60</v>
      </c>
      <c r="C157" s="100" t="s">
        <v>490</v>
      </c>
      <c r="D157" s="106" t="s">
        <v>62</v>
      </c>
      <c r="E157" s="112">
        <v>263.35000000000002</v>
      </c>
      <c r="F157" s="120"/>
      <c r="G157" s="121"/>
      <c r="H157" s="122">
        <f t="shared" si="126"/>
        <v>0</v>
      </c>
      <c r="I157" s="121"/>
      <c r="J157" s="121"/>
      <c r="K157" s="179">
        <f t="shared" ref="K157:K167" si="135">ROUND(H157+J157+I157,2)</f>
        <v>0</v>
      </c>
      <c r="L157" s="184">
        <f t="shared" si="128"/>
        <v>0</v>
      </c>
      <c r="M157" s="121">
        <f t="shared" si="129"/>
        <v>0</v>
      </c>
      <c r="N157" s="121">
        <f t="shared" si="130"/>
        <v>0</v>
      </c>
      <c r="O157" s="121">
        <f t="shared" ref="O157:O167" si="136">ROUND(E157*J157,2)</f>
        <v>0</v>
      </c>
      <c r="P157" s="123">
        <f t="shared" si="132"/>
        <v>0</v>
      </c>
    </row>
    <row r="158" spans="1:16" ht="13.2" x14ac:dyDescent="0.2">
      <c r="A158" s="113">
        <v>7</v>
      </c>
      <c r="B158" s="106" t="s">
        <v>60</v>
      </c>
      <c r="C158" s="100" t="s">
        <v>491</v>
      </c>
      <c r="D158" s="106" t="s">
        <v>62</v>
      </c>
      <c r="E158" s="112">
        <v>146.30000000000001</v>
      </c>
      <c r="F158" s="120"/>
      <c r="G158" s="121"/>
      <c r="H158" s="122">
        <f t="shared" si="126"/>
        <v>0</v>
      </c>
      <c r="I158" s="121"/>
      <c r="J158" s="121"/>
      <c r="K158" s="179">
        <f t="shared" si="135"/>
        <v>0</v>
      </c>
      <c r="L158" s="184">
        <f t="shared" si="128"/>
        <v>0</v>
      </c>
      <c r="M158" s="121">
        <f t="shared" si="129"/>
        <v>0</v>
      </c>
      <c r="N158" s="121">
        <f t="shared" si="130"/>
        <v>0</v>
      </c>
      <c r="O158" s="121">
        <f t="shared" si="136"/>
        <v>0</v>
      </c>
      <c r="P158" s="123">
        <f t="shared" si="132"/>
        <v>0</v>
      </c>
    </row>
    <row r="159" spans="1:16" ht="13.2" x14ac:dyDescent="0.2">
      <c r="A159" s="110">
        <v>8</v>
      </c>
      <c r="B159" s="106" t="s">
        <v>60</v>
      </c>
      <c r="C159" s="100" t="s">
        <v>103</v>
      </c>
      <c r="D159" s="106" t="s">
        <v>68</v>
      </c>
      <c r="E159" s="112">
        <v>1</v>
      </c>
      <c r="F159" s="120"/>
      <c r="G159" s="121"/>
      <c r="H159" s="122">
        <f t="shared" si="126"/>
        <v>0</v>
      </c>
      <c r="I159" s="121"/>
      <c r="J159" s="121"/>
      <c r="K159" s="179">
        <f t="shared" si="135"/>
        <v>0</v>
      </c>
      <c r="L159" s="184">
        <f t="shared" si="128"/>
        <v>0</v>
      </c>
      <c r="M159" s="121">
        <f t="shared" si="129"/>
        <v>0</v>
      </c>
      <c r="N159" s="121">
        <f t="shared" si="130"/>
        <v>0</v>
      </c>
      <c r="O159" s="121">
        <f t="shared" si="136"/>
        <v>0</v>
      </c>
      <c r="P159" s="123">
        <f t="shared" si="132"/>
        <v>0</v>
      </c>
    </row>
    <row r="160" spans="1:16" ht="13.2" x14ac:dyDescent="0.2">
      <c r="A160" s="113">
        <v>9</v>
      </c>
      <c r="B160" s="106" t="s">
        <v>60</v>
      </c>
      <c r="C160" s="100" t="s">
        <v>112</v>
      </c>
      <c r="D160" s="106" t="s">
        <v>73</v>
      </c>
      <c r="E160" s="112">
        <f>E153</f>
        <v>63.692999999999998</v>
      </c>
      <c r="F160" s="120"/>
      <c r="G160" s="121"/>
      <c r="H160" s="122">
        <f t="shared" si="126"/>
        <v>0</v>
      </c>
      <c r="I160" s="121"/>
      <c r="J160" s="121"/>
      <c r="K160" s="179">
        <f t="shared" si="135"/>
        <v>0</v>
      </c>
      <c r="L160" s="184">
        <f t="shared" si="128"/>
        <v>0</v>
      </c>
      <c r="M160" s="121">
        <f t="shared" si="129"/>
        <v>0</v>
      </c>
      <c r="N160" s="121">
        <f t="shared" si="130"/>
        <v>0</v>
      </c>
      <c r="O160" s="121">
        <f t="shared" si="136"/>
        <v>0</v>
      </c>
      <c r="P160" s="123">
        <f t="shared" si="132"/>
        <v>0</v>
      </c>
    </row>
    <row r="161" spans="1:16" ht="12.75" customHeight="1" x14ac:dyDescent="0.2">
      <c r="A161" s="113">
        <v>10</v>
      </c>
      <c r="B161" s="106"/>
      <c r="C161" s="99" t="s">
        <v>113</v>
      </c>
      <c r="D161" s="106" t="s">
        <v>96</v>
      </c>
      <c r="E161" s="112">
        <f>E160*0.12</f>
        <v>7.6431599999999991</v>
      </c>
      <c r="F161" s="120"/>
      <c r="G161" s="121"/>
      <c r="H161" s="122"/>
      <c r="I161" s="121"/>
      <c r="J161" s="121"/>
      <c r="K161" s="179">
        <f t="shared" si="135"/>
        <v>0</v>
      </c>
      <c r="L161" s="184">
        <f t="shared" si="128"/>
        <v>0</v>
      </c>
      <c r="M161" s="121">
        <f t="shared" si="129"/>
        <v>0</v>
      </c>
      <c r="N161" s="121">
        <f t="shared" si="130"/>
        <v>0</v>
      </c>
      <c r="O161" s="121">
        <f t="shared" si="136"/>
        <v>0</v>
      </c>
      <c r="P161" s="123">
        <f t="shared" si="132"/>
        <v>0</v>
      </c>
    </row>
    <row r="162" spans="1:16" ht="13.2" x14ac:dyDescent="0.2">
      <c r="A162" s="110">
        <v>11</v>
      </c>
      <c r="B162" s="106"/>
      <c r="C162" s="99" t="s">
        <v>376</v>
      </c>
      <c r="D162" s="106" t="s">
        <v>99</v>
      </c>
      <c r="E162" s="112">
        <f>E160*4.5</f>
        <v>286.61849999999998</v>
      </c>
      <c r="F162" s="120"/>
      <c r="G162" s="121"/>
      <c r="H162" s="122"/>
      <c r="I162" s="121"/>
      <c r="J162" s="121"/>
      <c r="K162" s="179">
        <f t="shared" si="135"/>
        <v>0</v>
      </c>
      <c r="L162" s="184">
        <f t="shared" si="128"/>
        <v>0</v>
      </c>
      <c r="M162" s="121">
        <f t="shared" si="129"/>
        <v>0</v>
      </c>
      <c r="N162" s="121">
        <f t="shared" si="130"/>
        <v>0</v>
      </c>
      <c r="O162" s="121">
        <f t="shared" si="136"/>
        <v>0</v>
      </c>
      <c r="P162" s="123">
        <f t="shared" si="132"/>
        <v>0</v>
      </c>
    </row>
    <row r="163" spans="1:16" ht="13.2" x14ac:dyDescent="0.2">
      <c r="A163" s="113">
        <v>12</v>
      </c>
      <c r="B163" s="106"/>
      <c r="C163" s="99" t="s">
        <v>101</v>
      </c>
      <c r="D163" s="106" t="s">
        <v>73</v>
      </c>
      <c r="E163" s="112">
        <f>E160*1.2</f>
        <v>76.431599999999989</v>
      </c>
      <c r="F163" s="120"/>
      <c r="G163" s="121"/>
      <c r="H163" s="122"/>
      <c r="I163" s="121"/>
      <c r="J163" s="121"/>
      <c r="K163" s="179">
        <f t="shared" si="135"/>
        <v>0</v>
      </c>
      <c r="L163" s="184">
        <f t="shared" si="128"/>
        <v>0</v>
      </c>
      <c r="M163" s="121">
        <f t="shared" si="129"/>
        <v>0</v>
      </c>
      <c r="N163" s="121">
        <f t="shared" si="130"/>
        <v>0</v>
      </c>
      <c r="O163" s="121">
        <f t="shared" si="136"/>
        <v>0</v>
      </c>
      <c r="P163" s="123">
        <f t="shared" si="132"/>
        <v>0</v>
      </c>
    </row>
    <row r="164" spans="1:16" ht="13.2" x14ac:dyDescent="0.2">
      <c r="A164" s="113">
        <v>13</v>
      </c>
      <c r="B164" s="106"/>
      <c r="C164" s="99" t="s">
        <v>115</v>
      </c>
      <c r="D164" s="106" t="s">
        <v>62</v>
      </c>
      <c r="E164" s="112">
        <f>1.1*1.1</f>
        <v>1.2100000000000002</v>
      </c>
      <c r="F164" s="120"/>
      <c r="G164" s="121"/>
      <c r="H164" s="122"/>
      <c r="I164" s="121"/>
      <c r="J164" s="121"/>
      <c r="K164" s="179">
        <f t="shared" si="135"/>
        <v>0</v>
      </c>
      <c r="L164" s="184">
        <f t="shared" si="128"/>
        <v>0</v>
      </c>
      <c r="M164" s="121">
        <f t="shared" si="129"/>
        <v>0</v>
      </c>
      <c r="N164" s="121">
        <f t="shared" si="130"/>
        <v>0</v>
      </c>
      <c r="O164" s="121">
        <f t="shared" si="136"/>
        <v>0</v>
      </c>
      <c r="P164" s="123">
        <f t="shared" si="132"/>
        <v>0</v>
      </c>
    </row>
    <row r="165" spans="1:16" ht="13.2" x14ac:dyDescent="0.2">
      <c r="A165" s="110">
        <v>14</v>
      </c>
      <c r="B165" s="106" t="s">
        <v>60</v>
      </c>
      <c r="C165" s="100" t="s">
        <v>117</v>
      </c>
      <c r="D165" s="106" t="s">
        <v>73</v>
      </c>
      <c r="E165" s="112">
        <f>(E158+E157)*0.17</f>
        <v>69.640500000000017</v>
      </c>
      <c r="F165" s="120"/>
      <c r="G165" s="121"/>
      <c r="H165" s="122">
        <f t="shared" ref="H165" si="137">ROUND(F165*G165,2)</f>
        <v>0</v>
      </c>
      <c r="I165" s="121"/>
      <c r="J165" s="121"/>
      <c r="K165" s="179">
        <f t="shared" si="135"/>
        <v>0</v>
      </c>
      <c r="L165" s="184">
        <f t="shared" si="128"/>
        <v>0</v>
      </c>
      <c r="M165" s="121">
        <f t="shared" si="129"/>
        <v>0</v>
      </c>
      <c r="N165" s="121">
        <f t="shared" si="130"/>
        <v>0</v>
      </c>
      <c r="O165" s="121">
        <f t="shared" si="136"/>
        <v>0</v>
      </c>
      <c r="P165" s="123">
        <f t="shared" si="132"/>
        <v>0</v>
      </c>
    </row>
    <row r="166" spans="1:16" ht="26.4" x14ac:dyDescent="0.2">
      <c r="A166" s="113">
        <v>15</v>
      </c>
      <c r="B166" s="106"/>
      <c r="C166" s="99" t="s">
        <v>294</v>
      </c>
      <c r="D166" s="106" t="s">
        <v>96</v>
      </c>
      <c r="E166" s="112">
        <f>E165*0.15</f>
        <v>10.446075000000002</v>
      </c>
      <c r="F166" s="120"/>
      <c r="G166" s="121"/>
      <c r="H166" s="122"/>
      <c r="I166" s="121"/>
      <c r="J166" s="121"/>
      <c r="K166" s="179">
        <f t="shared" si="135"/>
        <v>0</v>
      </c>
      <c r="L166" s="184">
        <f t="shared" si="128"/>
        <v>0</v>
      </c>
      <c r="M166" s="121">
        <f t="shared" si="129"/>
        <v>0</v>
      </c>
      <c r="N166" s="121">
        <f t="shared" si="130"/>
        <v>0</v>
      </c>
      <c r="O166" s="121">
        <f t="shared" si="136"/>
        <v>0</v>
      </c>
      <c r="P166" s="123">
        <f t="shared" si="132"/>
        <v>0</v>
      </c>
    </row>
    <row r="167" spans="1:16" ht="26.4" x14ac:dyDescent="0.2">
      <c r="A167" s="113">
        <v>16</v>
      </c>
      <c r="B167" s="106"/>
      <c r="C167" s="99" t="s">
        <v>405</v>
      </c>
      <c r="D167" s="106" t="s">
        <v>99</v>
      </c>
      <c r="E167" s="112">
        <f>E165*4</f>
        <v>278.56200000000007</v>
      </c>
      <c r="F167" s="120"/>
      <c r="G167" s="121"/>
      <c r="H167" s="122"/>
      <c r="I167" s="121"/>
      <c r="J167" s="121"/>
      <c r="K167" s="179">
        <f t="shared" si="135"/>
        <v>0</v>
      </c>
      <c r="L167" s="184">
        <f t="shared" si="128"/>
        <v>0</v>
      </c>
      <c r="M167" s="121">
        <f t="shared" si="129"/>
        <v>0</v>
      </c>
      <c r="N167" s="121">
        <f t="shared" si="130"/>
        <v>0</v>
      </c>
      <c r="O167" s="121">
        <f t="shared" si="136"/>
        <v>0</v>
      </c>
      <c r="P167" s="123">
        <f t="shared" si="132"/>
        <v>0</v>
      </c>
    </row>
    <row r="168" spans="1:16" ht="13.2" x14ac:dyDescent="0.2">
      <c r="A168" s="110"/>
      <c r="B168" s="106"/>
      <c r="C168" s="174" t="s">
        <v>506</v>
      </c>
      <c r="D168" s="106"/>
      <c r="E168" s="112"/>
      <c r="F168" s="120"/>
      <c r="G168" s="121"/>
      <c r="H168" s="122"/>
      <c r="I168" s="121"/>
      <c r="J168" s="121"/>
      <c r="K168" s="179"/>
      <c r="L168" s="184"/>
      <c r="M168" s="121"/>
      <c r="N168" s="121"/>
      <c r="O168" s="121"/>
      <c r="P168" s="123"/>
    </row>
    <row r="169" spans="1:16" ht="13.2" x14ac:dyDescent="0.2">
      <c r="A169" s="113">
        <v>1</v>
      </c>
      <c r="B169" s="149" t="s">
        <v>60</v>
      </c>
      <c r="C169" s="100" t="s">
        <v>493</v>
      </c>
      <c r="D169" s="106" t="s">
        <v>62</v>
      </c>
      <c r="E169" s="112">
        <v>4.6399999999999997</v>
      </c>
      <c r="F169" s="120"/>
      <c r="G169" s="121"/>
      <c r="H169" s="122">
        <f t="shared" ref="H169:H171" si="138">ROUND(F169*G169,2)</f>
        <v>0</v>
      </c>
      <c r="I169" s="121"/>
      <c r="J169" s="121"/>
      <c r="K169" s="179">
        <f t="shared" ref="K169:K171" si="139">ROUND(H169+J169+I169,2)</f>
        <v>0</v>
      </c>
      <c r="L169" s="184">
        <f t="shared" ref="L169:L171" si="140">ROUND(E169*F169,2)</f>
        <v>0</v>
      </c>
      <c r="M169" s="121">
        <f t="shared" ref="M169:M171" si="141">ROUND(E169*H169,2)</f>
        <v>0</v>
      </c>
      <c r="N169" s="121">
        <f t="shared" ref="N169:N171" si="142">ROUND(E169*I169,2)</f>
        <v>0</v>
      </c>
      <c r="O169" s="121">
        <f t="shared" ref="O169:O171" si="143">ROUND(E169*J169,2)</f>
        <v>0</v>
      </c>
      <c r="P169" s="123">
        <f t="shared" ref="P169:P171" si="144">ROUND(O169+N169+M169,2)</f>
        <v>0</v>
      </c>
    </row>
    <row r="170" spans="1:16" ht="13.2" x14ac:dyDescent="0.2">
      <c r="A170" s="110">
        <v>2</v>
      </c>
      <c r="B170" s="106" t="s">
        <v>60</v>
      </c>
      <c r="C170" s="100" t="s">
        <v>507</v>
      </c>
      <c r="D170" s="106" t="s">
        <v>62</v>
      </c>
      <c r="E170" s="112">
        <v>276.55</v>
      </c>
      <c r="F170" s="120"/>
      <c r="G170" s="121"/>
      <c r="H170" s="122">
        <f t="shared" si="138"/>
        <v>0</v>
      </c>
      <c r="I170" s="121"/>
      <c r="J170" s="121"/>
      <c r="K170" s="179">
        <f t="shared" si="139"/>
        <v>0</v>
      </c>
      <c r="L170" s="184">
        <f t="shared" si="140"/>
        <v>0</v>
      </c>
      <c r="M170" s="121">
        <f t="shared" si="141"/>
        <v>0</v>
      </c>
      <c r="N170" s="121">
        <f t="shared" si="142"/>
        <v>0</v>
      </c>
      <c r="O170" s="121">
        <f t="shared" si="143"/>
        <v>0</v>
      </c>
      <c r="P170" s="123">
        <f t="shared" si="144"/>
        <v>0</v>
      </c>
    </row>
    <row r="171" spans="1:16" ht="26.4" x14ac:dyDescent="0.2">
      <c r="A171" s="110">
        <v>3</v>
      </c>
      <c r="B171" s="106" t="s">
        <v>60</v>
      </c>
      <c r="C171" s="100" t="s">
        <v>508</v>
      </c>
      <c r="D171" s="106" t="s">
        <v>62</v>
      </c>
      <c r="E171" s="112">
        <v>263.35000000000002</v>
      </c>
      <c r="F171" s="120"/>
      <c r="G171" s="121"/>
      <c r="H171" s="122">
        <f t="shared" si="138"/>
        <v>0</v>
      </c>
      <c r="I171" s="121"/>
      <c r="J171" s="121"/>
      <c r="K171" s="179">
        <f t="shared" si="139"/>
        <v>0</v>
      </c>
      <c r="L171" s="184">
        <f t="shared" si="140"/>
        <v>0</v>
      </c>
      <c r="M171" s="121">
        <f t="shared" si="141"/>
        <v>0</v>
      </c>
      <c r="N171" s="121">
        <f t="shared" si="142"/>
        <v>0</v>
      </c>
      <c r="O171" s="121">
        <f t="shared" si="143"/>
        <v>0</v>
      </c>
      <c r="P171" s="123">
        <f t="shared" si="144"/>
        <v>0</v>
      </c>
    </row>
    <row r="172" spans="1:16" ht="26.4" x14ac:dyDescent="0.2">
      <c r="A172" s="163"/>
      <c r="B172" s="164"/>
      <c r="C172" s="165" t="s">
        <v>509</v>
      </c>
      <c r="D172" s="166"/>
      <c r="E172" s="167"/>
      <c r="F172" s="168"/>
      <c r="G172" s="169"/>
      <c r="H172" s="169"/>
      <c r="I172" s="169"/>
      <c r="J172" s="169"/>
      <c r="K172" s="194"/>
      <c r="L172" s="195"/>
      <c r="M172" s="172"/>
      <c r="N172" s="172"/>
      <c r="O172" s="172"/>
      <c r="P172" s="173"/>
    </row>
    <row r="173" spans="1:16" ht="26.4" x14ac:dyDescent="0.2">
      <c r="A173" s="110">
        <v>1</v>
      </c>
      <c r="B173" s="106" t="s">
        <v>60</v>
      </c>
      <c r="C173" s="100" t="s">
        <v>504</v>
      </c>
      <c r="D173" s="106" t="s">
        <v>62</v>
      </c>
      <c r="E173" s="112">
        <v>159.5</v>
      </c>
      <c r="F173" s="120"/>
      <c r="G173" s="121"/>
      <c r="H173" s="122">
        <f t="shared" ref="H173:H174" si="145">ROUND(F173*G173,2)</f>
        <v>0</v>
      </c>
      <c r="I173" s="121"/>
      <c r="J173" s="121"/>
      <c r="K173" s="179">
        <f t="shared" ref="K173:K174" si="146">ROUND(H173+J173+I173,2)</f>
        <v>0</v>
      </c>
      <c r="L173" s="184">
        <f t="shared" ref="L173:L174" si="147">ROUND(E173*F173,2)</f>
        <v>0</v>
      </c>
      <c r="M173" s="121">
        <f t="shared" ref="M173:M174" si="148">ROUND(E173*H173,2)</f>
        <v>0</v>
      </c>
      <c r="N173" s="121">
        <f t="shared" ref="N173:N174" si="149">ROUND(E173*I173,2)</f>
        <v>0</v>
      </c>
      <c r="O173" s="121">
        <f t="shared" ref="O173:O174" si="150">ROUND(E173*J173,2)</f>
        <v>0</v>
      </c>
      <c r="P173" s="123">
        <f t="shared" ref="P173:P174" si="151">ROUND(O173+N173+M173,2)</f>
        <v>0</v>
      </c>
    </row>
    <row r="174" spans="1:16" ht="39.6" x14ac:dyDescent="0.2">
      <c r="A174" s="110">
        <v>2</v>
      </c>
      <c r="B174" s="106" t="s">
        <v>60</v>
      </c>
      <c r="C174" s="100" t="s">
        <v>529</v>
      </c>
      <c r="D174" s="106" t="s">
        <v>73</v>
      </c>
      <c r="E174" s="112">
        <v>10.4</v>
      </c>
      <c r="F174" s="120"/>
      <c r="G174" s="121"/>
      <c r="H174" s="122">
        <f t="shared" si="145"/>
        <v>0</v>
      </c>
      <c r="I174" s="121"/>
      <c r="J174" s="121"/>
      <c r="K174" s="179">
        <f t="shared" si="146"/>
        <v>0</v>
      </c>
      <c r="L174" s="184">
        <f t="shared" si="147"/>
        <v>0</v>
      </c>
      <c r="M174" s="121">
        <f t="shared" si="148"/>
        <v>0</v>
      </c>
      <c r="N174" s="121">
        <f t="shared" si="149"/>
        <v>0</v>
      </c>
      <c r="O174" s="121">
        <f t="shared" si="150"/>
        <v>0</v>
      </c>
      <c r="P174" s="123">
        <f t="shared" si="151"/>
        <v>0</v>
      </c>
    </row>
    <row r="175" spans="1:16" ht="13.2" x14ac:dyDescent="0.2">
      <c r="A175" s="110"/>
      <c r="B175" s="106"/>
      <c r="C175" s="174" t="s">
        <v>582</v>
      </c>
      <c r="D175" s="106"/>
      <c r="E175" s="112"/>
      <c r="F175" s="120"/>
      <c r="G175" s="121"/>
      <c r="H175" s="122"/>
      <c r="I175" s="121"/>
      <c r="J175" s="121"/>
      <c r="K175" s="179"/>
      <c r="L175" s="184"/>
      <c r="M175" s="121"/>
      <c r="N175" s="121"/>
      <c r="O175" s="121"/>
      <c r="P175" s="123"/>
    </row>
    <row r="176" spans="1:16" ht="13.2" x14ac:dyDescent="0.2">
      <c r="A176" s="113">
        <v>1</v>
      </c>
      <c r="B176" s="149" t="s">
        <v>60</v>
      </c>
      <c r="C176" s="100" t="s">
        <v>524</v>
      </c>
      <c r="D176" s="106" t="s">
        <v>62</v>
      </c>
      <c r="E176" s="112">
        <v>159.5</v>
      </c>
      <c r="F176" s="120"/>
      <c r="G176" s="121"/>
      <c r="H176" s="122">
        <f t="shared" ref="H176:H184" si="152">ROUND(F176*G176,2)</f>
        <v>0</v>
      </c>
      <c r="I176" s="121"/>
      <c r="J176" s="121"/>
      <c r="K176" s="179">
        <f t="shared" ref="K176" si="153">ROUND(H176+J176+I176,2)</f>
        <v>0</v>
      </c>
      <c r="L176" s="184">
        <f t="shared" ref="L176:L191" si="154">ROUND(E176*F176,2)</f>
        <v>0</v>
      </c>
      <c r="M176" s="121">
        <f t="shared" ref="M176:M191" si="155">ROUND(E176*H176,2)</f>
        <v>0</v>
      </c>
      <c r="N176" s="121">
        <f t="shared" ref="N176:N191" si="156">ROUND(E176*I176,2)</f>
        <v>0</v>
      </c>
      <c r="O176" s="121">
        <f t="shared" ref="O176" si="157">ROUND(E176*J176,2)</f>
        <v>0</v>
      </c>
      <c r="P176" s="123">
        <f t="shared" ref="P176:P191" si="158">ROUND(O176+N176+M176,2)</f>
        <v>0</v>
      </c>
    </row>
    <row r="177" spans="1:16" ht="39.6" x14ac:dyDescent="0.2">
      <c r="A177" s="110">
        <v>2</v>
      </c>
      <c r="B177" s="106" t="s">
        <v>60</v>
      </c>
      <c r="C177" s="100" t="s">
        <v>525</v>
      </c>
      <c r="D177" s="106" t="s">
        <v>73</v>
      </c>
      <c r="E177" s="112">
        <f>23.93*1.05</f>
        <v>25.1265</v>
      </c>
      <c r="F177" s="120"/>
      <c r="G177" s="121"/>
      <c r="H177" s="122">
        <f t="shared" si="152"/>
        <v>0</v>
      </c>
      <c r="I177" s="121"/>
      <c r="J177" s="121"/>
      <c r="K177" s="179"/>
      <c r="L177" s="184">
        <f t="shared" si="154"/>
        <v>0</v>
      </c>
      <c r="M177" s="121">
        <f t="shared" si="155"/>
        <v>0</v>
      </c>
      <c r="N177" s="121">
        <f t="shared" si="156"/>
        <v>0</v>
      </c>
      <c r="O177" s="121">
        <f>ROUND(E177*J177,2)</f>
        <v>0</v>
      </c>
      <c r="P177" s="123">
        <f t="shared" si="158"/>
        <v>0</v>
      </c>
    </row>
    <row r="178" spans="1:16" ht="26.4" x14ac:dyDescent="0.2">
      <c r="A178" s="113">
        <v>3</v>
      </c>
      <c r="B178" s="149" t="s">
        <v>60</v>
      </c>
      <c r="C178" s="108" t="s">
        <v>487</v>
      </c>
      <c r="D178" s="135" t="s">
        <v>62</v>
      </c>
      <c r="E178" s="109">
        <v>63.8</v>
      </c>
      <c r="F178" s="120"/>
      <c r="G178" s="121"/>
      <c r="H178" s="122">
        <f t="shared" si="152"/>
        <v>0</v>
      </c>
      <c r="I178" s="121"/>
      <c r="J178" s="121"/>
      <c r="K178" s="179">
        <f t="shared" ref="K178" si="159">ROUND(H178+J178+I178,2)</f>
        <v>0</v>
      </c>
      <c r="L178" s="184">
        <f t="shared" si="154"/>
        <v>0</v>
      </c>
      <c r="M178" s="121">
        <f t="shared" si="155"/>
        <v>0</v>
      </c>
      <c r="N178" s="121">
        <f t="shared" si="156"/>
        <v>0</v>
      </c>
      <c r="O178" s="121">
        <f t="shared" ref="O178" si="160">ROUND(E178*J178,2)</f>
        <v>0</v>
      </c>
      <c r="P178" s="123">
        <f t="shared" si="158"/>
        <v>0</v>
      </c>
    </row>
    <row r="179" spans="1:16" ht="13.2" x14ac:dyDescent="0.2">
      <c r="A179" s="113">
        <v>4</v>
      </c>
      <c r="B179" s="106" t="s">
        <v>60</v>
      </c>
      <c r="C179" s="100" t="s">
        <v>488</v>
      </c>
      <c r="D179" s="106" t="s">
        <v>62</v>
      </c>
      <c r="E179" s="112">
        <v>62.7</v>
      </c>
      <c r="F179" s="120"/>
      <c r="G179" s="121"/>
      <c r="H179" s="122">
        <f t="shared" si="152"/>
        <v>0</v>
      </c>
      <c r="I179" s="121"/>
      <c r="J179" s="121"/>
      <c r="K179" s="179"/>
      <c r="L179" s="184">
        <f t="shared" si="154"/>
        <v>0</v>
      </c>
      <c r="M179" s="121">
        <f t="shared" si="155"/>
        <v>0</v>
      </c>
      <c r="N179" s="121">
        <f t="shared" si="156"/>
        <v>0</v>
      </c>
      <c r="O179" s="121">
        <f>ROUND(E179*J179,2)</f>
        <v>0</v>
      </c>
      <c r="P179" s="123">
        <f t="shared" si="158"/>
        <v>0</v>
      </c>
    </row>
    <row r="180" spans="1:16" ht="26.4" x14ac:dyDescent="0.2">
      <c r="A180" s="110">
        <v>5</v>
      </c>
      <c r="B180" s="106" t="s">
        <v>60</v>
      </c>
      <c r="C180" s="100" t="s">
        <v>505</v>
      </c>
      <c r="D180" s="106" t="s">
        <v>62</v>
      </c>
      <c r="E180" s="112">
        <v>96.8</v>
      </c>
      <c r="F180" s="120"/>
      <c r="G180" s="121"/>
      <c r="H180" s="122">
        <f t="shared" si="152"/>
        <v>0</v>
      </c>
      <c r="I180" s="121"/>
      <c r="J180" s="121"/>
      <c r="K180" s="179"/>
      <c r="L180" s="184">
        <f t="shared" si="154"/>
        <v>0</v>
      </c>
      <c r="M180" s="121">
        <f t="shared" si="155"/>
        <v>0</v>
      </c>
      <c r="N180" s="121">
        <f t="shared" si="156"/>
        <v>0</v>
      </c>
      <c r="O180" s="121">
        <f>ROUND(E180*J180,2)</f>
        <v>0</v>
      </c>
      <c r="P180" s="123">
        <f t="shared" si="158"/>
        <v>0</v>
      </c>
    </row>
    <row r="181" spans="1:16" ht="26.4" x14ac:dyDescent="0.2">
      <c r="A181" s="113">
        <v>6</v>
      </c>
      <c r="B181" s="106" t="s">
        <v>60</v>
      </c>
      <c r="C181" s="100" t="s">
        <v>490</v>
      </c>
      <c r="D181" s="106" t="s">
        <v>62</v>
      </c>
      <c r="E181" s="112">
        <v>62.7</v>
      </c>
      <c r="F181" s="120"/>
      <c r="G181" s="121"/>
      <c r="H181" s="122">
        <f t="shared" si="152"/>
        <v>0</v>
      </c>
      <c r="I181" s="121"/>
      <c r="J181" s="121"/>
      <c r="K181" s="179">
        <f t="shared" ref="K181:K191" si="161">ROUND(H181+J181+I181,2)</f>
        <v>0</v>
      </c>
      <c r="L181" s="184">
        <f t="shared" si="154"/>
        <v>0</v>
      </c>
      <c r="M181" s="121">
        <f t="shared" si="155"/>
        <v>0</v>
      </c>
      <c r="N181" s="121">
        <f t="shared" si="156"/>
        <v>0</v>
      </c>
      <c r="O181" s="121">
        <f t="shared" ref="O181:O191" si="162">ROUND(E181*J181,2)</f>
        <v>0</v>
      </c>
      <c r="P181" s="123">
        <f t="shared" si="158"/>
        <v>0</v>
      </c>
    </row>
    <row r="182" spans="1:16" ht="13.2" x14ac:dyDescent="0.2">
      <c r="A182" s="113">
        <v>7</v>
      </c>
      <c r="B182" s="106" t="s">
        <v>60</v>
      </c>
      <c r="C182" s="100" t="s">
        <v>491</v>
      </c>
      <c r="D182" s="106" t="s">
        <v>62</v>
      </c>
      <c r="E182" s="112">
        <v>34.1</v>
      </c>
      <c r="F182" s="120"/>
      <c r="G182" s="121"/>
      <c r="H182" s="122">
        <f t="shared" si="152"/>
        <v>0</v>
      </c>
      <c r="I182" s="121"/>
      <c r="J182" s="121"/>
      <c r="K182" s="179">
        <f t="shared" si="161"/>
        <v>0</v>
      </c>
      <c r="L182" s="184">
        <f t="shared" si="154"/>
        <v>0</v>
      </c>
      <c r="M182" s="121">
        <f t="shared" si="155"/>
        <v>0</v>
      </c>
      <c r="N182" s="121">
        <f t="shared" si="156"/>
        <v>0</v>
      </c>
      <c r="O182" s="121">
        <f t="shared" si="162"/>
        <v>0</v>
      </c>
      <c r="P182" s="123">
        <f t="shared" si="158"/>
        <v>0</v>
      </c>
    </row>
    <row r="183" spans="1:16" ht="13.2" x14ac:dyDescent="0.2">
      <c r="A183" s="110">
        <v>8</v>
      </c>
      <c r="B183" s="106" t="s">
        <v>60</v>
      </c>
      <c r="C183" s="100" t="s">
        <v>103</v>
      </c>
      <c r="D183" s="106" t="s">
        <v>68</v>
      </c>
      <c r="E183" s="112">
        <v>1</v>
      </c>
      <c r="F183" s="120"/>
      <c r="G183" s="121"/>
      <c r="H183" s="122">
        <f t="shared" si="152"/>
        <v>0</v>
      </c>
      <c r="I183" s="121"/>
      <c r="J183" s="121"/>
      <c r="K183" s="179">
        <f t="shared" si="161"/>
        <v>0</v>
      </c>
      <c r="L183" s="184">
        <f t="shared" si="154"/>
        <v>0</v>
      </c>
      <c r="M183" s="121">
        <f t="shared" si="155"/>
        <v>0</v>
      </c>
      <c r="N183" s="121">
        <f t="shared" si="156"/>
        <v>0</v>
      </c>
      <c r="O183" s="121">
        <f t="shared" si="162"/>
        <v>0</v>
      </c>
      <c r="P183" s="123">
        <f t="shared" si="158"/>
        <v>0</v>
      </c>
    </row>
    <row r="184" spans="1:16" ht="13.2" x14ac:dyDescent="0.2">
      <c r="A184" s="113">
        <v>9</v>
      </c>
      <c r="B184" s="106" t="s">
        <v>60</v>
      </c>
      <c r="C184" s="100" t="s">
        <v>112</v>
      </c>
      <c r="D184" s="106" t="s">
        <v>73</v>
      </c>
      <c r="E184" s="112">
        <f>E177</f>
        <v>25.1265</v>
      </c>
      <c r="F184" s="120"/>
      <c r="G184" s="121"/>
      <c r="H184" s="122">
        <f t="shared" si="152"/>
        <v>0</v>
      </c>
      <c r="I184" s="121"/>
      <c r="J184" s="121"/>
      <c r="K184" s="179">
        <f t="shared" si="161"/>
        <v>0</v>
      </c>
      <c r="L184" s="184">
        <f t="shared" si="154"/>
        <v>0</v>
      </c>
      <c r="M184" s="121">
        <f t="shared" si="155"/>
        <v>0</v>
      </c>
      <c r="N184" s="121">
        <f t="shared" si="156"/>
        <v>0</v>
      </c>
      <c r="O184" s="121">
        <f t="shared" si="162"/>
        <v>0</v>
      </c>
      <c r="P184" s="123">
        <f t="shared" si="158"/>
        <v>0</v>
      </c>
    </row>
    <row r="185" spans="1:16" ht="12.75" customHeight="1" x14ac:dyDescent="0.2">
      <c r="A185" s="113">
        <v>10</v>
      </c>
      <c r="B185" s="106"/>
      <c r="C185" s="99" t="s">
        <v>113</v>
      </c>
      <c r="D185" s="106" t="s">
        <v>96</v>
      </c>
      <c r="E185" s="112">
        <f>E184*0.12</f>
        <v>3.01518</v>
      </c>
      <c r="F185" s="120"/>
      <c r="G185" s="121"/>
      <c r="H185" s="122"/>
      <c r="I185" s="121"/>
      <c r="J185" s="121"/>
      <c r="K185" s="179">
        <f t="shared" si="161"/>
        <v>0</v>
      </c>
      <c r="L185" s="184">
        <f t="shared" si="154"/>
        <v>0</v>
      </c>
      <c r="M185" s="121">
        <f t="shared" si="155"/>
        <v>0</v>
      </c>
      <c r="N185" s="121">
        <f t="shared" si="156"/>
        <v>0</v>
      </c>
      <c r="O185" s="121">
        <f t="shared" si="162"/>
        <v>0</v>
      </c>
      <c r="P185" s="123">
        <f t="shared" si="158"/>
        <v>0</v>
      </c>
    </row>
    <row r="186" spans="1:16" ht="13.2" x14ac:dyDescent="0.2">
      <c r="A186" s="110">
        <v>11</v>
      </c>
      <c r="B186" s="106"/>
      <c r="C186" s="99" t="s">
        <v>376</v>
      </c>
      <c r="D186" s="106" t="s">
        <v>99</v>
      </c>
      <c r="E186" s="112">
        <f>E184*4.5</f>
        <v>113.06925</v>
      </c>
      <c r="F186" s="120"/>
      <c r="G186" s="121"/>
      <c r="H186" s="122"/>
      <c r="I186" s="121"/>
      <c r="J186" s="121"/>
      <c r="K186" s="179">
        <f t="shared" si="161"/>
        <v>0</v>
      </c>
      <c r="L186" s="184">
        <f t="shared" si="154"/>
        <v>0</v>
      </c>
      <c r="M186" s="121">
        <f t="shared" si="155"/>
        <v>0</v>
      </c>
      <c r="N186" s="121">
        <f t="shared" si="156"/>
        <v>0</v>
      </c>
      <c r="O186" s="121">
        <f t="shared" si="162"/>
        <v>0</v>
      </c>
      <c r="P186" s="123">
        <f t="shared" si="158"/>
        <v>0</v>
      </c>
    </row>
    <row r="187" spans="1:16" ht="13.2" x14ac:dyDescent="0.2">
      <c r="A187" s="113">
        <v>12</v>
      </c>
      <c r="B187" s="106"/>
      <c r="C187" s="99" t="s">
        <v>101</v>
      </c>
      <c r="D187" s="106" t="s">
        <v>73</v>
      </c>
      <c r="E187" s="112">
        <f>E184*1.2</f>
        <v>30.151799999999998</v>
      </c>
      <c r="F187" s="120"/>
      <c r="G187" s="121"/>
      <c r="H187" s="122"/>
      <c r="I187" s="121"/>
      <c r="J187" s="121"/>
      <c r="K187" s="179">
        <f t="shared" si="161"/>
        <v>0</v>
      </c>
      <c r="L187" s="184">
        <f t="shared" si="154"/>
        <v>0</v>
      </c>
      <c r="M187" s="121">
        <f t="shared" si="155"/>
        <v>0</v>
      </c>
      <c r="N187" s="121">
        <f t="shared" si="156"/>
        <v>0</v>
      </c>
      <c r="O187" s="121">
        <f t="shared" si="162"/>
        <v>0</v>
      </c>
      <c r="P187" s="123">
        <f t="shared" si="158"/>
        <v>0</v>
      </c>
    </row>
    <row r="188" spans="1:16" ht="13.2" x14ac:dyDescent="0.2">
      <c r="A188" s="113">
        <v>13</v>
      </c>
      <c r="B188" s="106"/>
      <c r="C188" s="99" t="s">
        <v>115</v>
      </c>
      <c r="D188" s="106" t="s">
        <v>62</v>
      </c>
      <c r="E188" s="112">
        <f>1.1*1.1</f>
        <v>1.2100000000000002</v>
      </c>
      <c r="F188" s="120"/>
      <c r="G188" s="121"/>
      <c r="H188" s="122"/>
      <c r="I188" s="121"/>
      <c r="J188" s="121"/>
      <c r="K188" s="179">
        <f t="shared" si="161"/>
        <v>0</v>
      </c>
      <c r="L188" s="184">
        <f t="shared" si="154"/>
        <v>0</v>
      </c>
      <c r="M188" s="121">
        <f t="shared" si="155"/>
        <v>0</v>
      </c>
      <c r="N188" s="121">
        <f t="shared" si="156"/>
        <v>0</v>
      </c>
      <c r="O188" s="121">
        <f t="shared" si="162"/>
        <v>0</v>
      </c>
      <c r="P188" s="123">
        <f t="shared" si="158"/>
        <v>0</v>
      </c>
    </row>
    <row r="189" spans="1:16" ht="13.2" x14ac:dyDescent="0.2">
      <c r="A189" s="110">
        <v>14</v>
      </c>
      <c r="B189" s="106" t="s">
        <v>60</v>
      </c>
      <c r="C189" s="100" t="s">
        <v>117</v>
      </c>
      <c r="D189" s="106" t="s">
        <v>73</v>
      </c>
      <c r="E189" s="112">
        <f>(E182+E181)*0.17</f>
        <v>16.456000000000003</v>
      </c>
      <c r="F189" s="120"/>
      <c r="G189" s="121"/>
      <c r="H189" s="122">
        <f t="shared" ref="H189" si="163">ROUND(F189*G189,2)</f>
        <v>0</v>
      </c>
      <c r="I189" s="121"/>
      <c r="J189" s="121"/>
      <c r="K189" s="179">
        <f t="shared" si="161"/>
        <v>0</v>
      </c>
      <c r="L189" s="184">
        <f t="shared" si="154"/>
        <v>0</v>
      </c>
      <c r="M189" s="121">
        <f t="shared" si="155"/>
        <v>0</v>
      </c>
      <c r="N189" s="121">
        <f t="shared" si="156"/>
        <v>0</v>
      </c>
      <c r="O189" s="121">
        <f t="shared" si="162"/>
        <v>0</v>
      </c>
      <c r="P189" s="123">
        <f t="shared" si="158"/>
        <v>0</v>
      </c>
    </row>
    <row r="190" spans="1:16" ht="26.4" x14ac:dyDescent="0.2">
      <c r="A190" s="113">
        <v>15</v>
      </c>
      <c r="B190" s="106"/>
      <c r="C190" s="99" t="s">
        <v>294</v>
      </c>
      <c r="D190" s="106" t="s">
        <v>96</v>
      </c>
      <c r="E190" s="112">
        <f>E189*0.15</f>
        <v>2.4684000000000004</v>
      </c>
      <c r="F190" s="120"/>
      <c r="G190" s="121"/>
      <c r="H190" s="122"/>
      <c r="I190" s="121"/>
      <c r="J190" s="121"/>
      <c r="K190" s="179">
        <f t="shared" si="161"/>
        <v>0</v>
      </c>
      <c r="L190" s="184">
        <f t="shared" si="154"/>
        <v>0</v>
      </c>
      <c r="M190" s="121">
        <f t="shared" si="155"/>
        <v>0</v>
      </c>
      <c r="N190" s="121">
        <f t="shared" si="156"/>
        <v>0</v>
      </c>
      <c r="O190" s="121">
        <f t="shared" si="162"/>
        <v>0</v>
      </c>
      <c r="P190" s="123">
        <f t="shared" si="158"/>
        <v>0</v>
      </c>
    </row>
    <row r="191" spans="1:16" ht="26.4" x14ac:dyDescent="0.2">
      <c r="A191" s="113">
        <v>16</v>
      </c>
      <c r="B191" s="106"/>
      <c r="C191" s="99" t="s">
        <v>405</v>
      </c>
      <c r="D191" s="106" t="s">
        <v>99</v>
      </c>
      <c r="E191" s="112">
        <f>E189*4</f>
        <v>65.824000000000012</v>
      </c>
      <c r="F191" s="120"/>
      <c r="G191" s="121"/>
      <c r="H191" s="122"/>
      <c r="I191" s="121"/>
      <c r="J191" s="121"/>
      <c r="K191" s="179">
        <f t="shared" si="161"/>
        <v>0</v>
      </c>
      <c r="L191" s="184">
        <f t="shared" si="154"/>
        <v>0</v>
      </c>
      <c r="M191" s="121">
        <f t="shared" si="155"/>
        <v>0</v>
      </c>
      <c r="N191" s="121">
        <f t="shared" si="156"/>
        <v>0</v>
      </c>
      <c r="O191" s="121">
        <f t="shared" si="162"/>
        <v>0</v>
      </c>
      <c r="P191" s="123">
        <f t="shared" si="158"/>
        <v>0</v>
      </c>
    </row>
    <row r="192" spans="1:16" ht="13.2" x14ac:dyDescent="0.2">
      <c r="A192" s="110"/>
      <c r="B192" s="106"/>
      <c r="C192" s="174" t="s">
        <v>506</v>
      </c>
      <c r="D192" s="106"/>
      <c r="E192" s="112"/>
      <c r="F192" s="120"/>
      <c r="G192" s="121"/>
      <c r="H192" s="122"/>
      <c r="I192" s="121"/>
      <c r="J192" s="121"/>
      <c r="K192" s="179"/>
      <c r="L192" s="184"/>
      <c r="M192" s="121"/>
      <c r="N192" s="121"/>
      <c r="O192" s="121"/>
      <c r="P192" s="123"/>
    </row>
    <row r="193" spans="1:16" ht="13.2" x14ac:dyDescent="0.2">
      <c r="A193" s="113">
        <v>1</v>
      </c>
      <c r="B193" s="149" t="s">
        <v>60</v>
      </c>
      <c r="C193" s="100" t="s">
        <v>493</v>
      </c>
      <c r="D193" s="106" t="s">
        <v>62</v>
      </c>
      <c r="E193" s="112">
        <v>159.5</v>
      </c>
      <c r="F193" s="120"/>
      <c r="G193" s="121"/>
      <c r="H193" s="122">
        <f t="shared" ref="H193:H195" si="164">ROUND(F193*G193,2)</f>
        <v>0</v>
      </c>
      <c r="I193" s="121"/>
      <c r="J193" s="121"/>
      <c r="K193" s="179">
        <f t="shared" ref="K193:K195" si="165">ROUND(H193+J193+I193,2)</f>
        <v>0</v>
      </c>
      <c r="L193" s="184">
        <f t="shared" ref="L193:L195" si="166">ROUND(E193*F193,2)</f>
        <v>0</v>
      </c>
      <c r="M193" s="121">
        <f t="shared" ref="M193:M195" si="167">ROUND(E193*H193,2)</f>
        <v>0</v>
      </c>
      <c r="N193" s="121">
        <f t="shared" ref="N193:N195" si="168">ROUND(E193*I193,2)</f>
        <v>0</v>
      </c>
      <c r="O193" s="121">
        <f t="shared" ref="O193:O195" si="169">ROUND(E193*J193,2)</f>
        <v>0</v>
      </c>
      <c r="P193" s="123">
        <f t="shared" ref="P193:P195" si="170">ROUND(O193+N193+M193,2)</f>
        <v>0</v>
      </c>
    </row>
    <row r="194" spans="1:16" ht="13.2" x14ac:dyDescent="0.2">
      <c r="A194" s="110">
        <v>2</v>
      </c>
      <c r="B194" s="106" t="s">
        <v>60</v>
      </c>
      <c r="C194" s="100" t="s">
        <v>507</v>
      </c>
      <c r="D194" s="106" t="s">
        <v>62</v>
      </c>
      <c r="E194" s="112">
        <v>69.3</v>
      </c>
      <c r="F194" s="120"/>
      <c r="G194" s="121"/>
      <c r="H194" s="122">
        <f t="shared" si="164"/>
        <v>0</v>
      </c>
      <c r="I194" s="121"/>
      <c r="J194" s="121"/>
      <c r="K194" s="179">
        <f t="shared" si="165"/>
        <v>0</v>
      </c>
      <c r="L194" s="184">
        <f t="shared" si="166"/>
        <v>0</v>
      </c>
      <c r="M194" s="121">
        <f t="shared" si="167"/>
        <v>0</v>
      </c>
      <c r="N194" s="121">
        <f t="shared" si="168"/>
        <v>0</v>
      </c>
      <c r="O194" s="121">
        <f t="shared" si="169"/>
        <v>0</v>
      </c>
      <c r="P194" s="123">
        <f t="shared" si="170"/>
        <v>0</v>
      </c>
    </row>
    <row r="195" spans="1:16" ht="26.4" x14ac:dyDescent="0.2">
      <c r="A195" s="110">
        <v>3</v>
      </c>
      <c r="B195" s="106" t="s">
        <v>60</v>
      </c>
      <c r="C195" s="100" t="s">
        <v>508</v>
      </c>
      <c r="D195" s="106" t="s">
        <v>62</v>
      </c>
      <c r="E195" s="112">
        <v>63.25</v>
      </c>
      <c r="F195" s="120"/>
      <c r="G195" s="121"/>
      <c r="H195" s="122">
        <f t="shared" si="164"/>
        <v>0</v>
      </c>
      <c r="I195" s="121"/>
      <c r="J195" s="121"/>
      <c r="K195" s="179">
        <f t="shared" si="165"/>
        <v>0</v>
      </c>
      <c r="L195" s="184">
        <f t="shared" si="166"/>
        <v>0</v>
      </c>
      <c r="M195" s="121">
        <f t="shared" si="167"/>
        <v>0</v>
      </c>
      <c r="N195" s="121">
        <f t="shared" si="168"/>
        <v>0</v>
      </c>
      <c r="O195" s="121">
        <f t="shared" si="169"/>
        <v>0</v>
      </c>
      <c r="P195" s="123">
        <f t="shared" si="170"/>
        <v>0</v>
      </c>
    </row>
    <row r="196" spans="1:16" ht="26.4" x14ac:dyDescent="0.2">
      <c r="A196" s="163"/>
      <c r="B196" s="164"/>
      <c r="C196" s="165" t="s">
        <v>510</v>
      </c>
      <c r="D196" s="166"/>
      <c r="E196" s="167"/>
      <c r="F196" s="168"/>
      <c r="G196" s="169"/>
      <c r="H196" s="169"/>
      <c r="I196" s="169"/>
      <c r="J196" s="169"/>
      <c r="K196" s="194"/>
      <c r="L196" s="195"/>
      <c r="M196" s="172"/>
      <c r="N196" s="172"/>
      <c r="O196" s="172"/>
      <c r="P196" s="173"/>
    </row>
    <row r="197" spans="1:16" ht="26.4" x14ac:dyDescent="0.2">
      <c r="A197" s="110">
        <v>1</v>
      </c>
      <c r="B197" s="106" t="s">
        <v>60</v>
      </c>
      <c r="C197" s="100" t="s">
        <v>504</v>
      </c>
      <c r="D197" s="106" t="s">
        <v>62</v>
      </c>
      <c r="E197" s="112">
        <v>159.5</v>
      </c>
      <c r="F197" s="120"/>
      <c r="G197" s="121"/>
      <c r="H197" s="122">
        <f t="shared" ref="H197:H198" si="171">ROUND(F197*G197,2)</f>
        <v>0</v>
      </c>
      <c r="I197" s="121"/>
      <c r="J197" s="121"/>
      <c r="K197" s="179">
        <f t="shared" ref="K197:K198" si="172">ROUND(H197+J197+I197,2)</f>
        <v>0</v>
      </c>
      <c r="L197" s="184">
        <f t="shared" ref="L197:L198" si="173">ROUND(E197*F197,2)</f>
        <v>0</v>
      </c>
      <c r="M197" s="121">
        <f t="shared" ref="M197:M198" si="174">ROUND(E197*H197,2)</f>
        <v>0</v>
      </c>
      <c r="N197" s="121">
        <f t="shared" ref="N197:N198" si="175">ROUND(E197*I197,2)</f>
        <v>0</v>
      </c>
      <c r="O197" s="121">
        <f t="shared" ref="O197:O198" si="176">ROUND(E197*J197,2)</f>
        <v>0</v>
      </c>
      <c r="P197" s="123">
        <f t="shared" ref="P197:P198" si="177">ROUND(O197+N197+M197,2)</f>
        <v>0</v>
      </c>
    </row>
    <row r="198" spans="1:16" ht="39.6" x14ac:dyDescent="0.2">
      <c r="A198" s="110">
        <v>2</v>
      </c>
      <c r="B198" s="106" t="s">
        <v>60</v>
      </c>
      <c r="C198" s="100" t="s">
        <v>529</v>
      </c>
      <c r="D198" s="106" t="s">
        <v>73</v>
      </c>
      <c r="E198" s="112">
        <v>10.4</v>
      </c>
      <c r="F198" s="120"/>
      <c r="G198" s="121"/>
      <c r="H198" s="122">
        <f t="shared" si="171"/>
        <v>0</v>
      </c>
      <c r="I198" s="121"/>
      <c r="J198" s="121"/>
      <c r="K198" s="179">
        <f t="shared" si="172"/>
        <v>0</v>
      </c>
      <c r="L198" s="184">
        <f t="shared" si="173"/>
        <v>0</v>
      </c>
      <c r="M198" s="121">
        <f t="shared" si="174"/>
        <v>0</v>
      </c>
      <c r="N198" s="121">
        <f t="shared" si="175"/>
        <v>0</v>
      </c>
      <c r="O198" s="121">
        <f t="shared" si="176"/>
        <v>0</v>
      </c>
      <c r="P198" s="123">
        <f t="shared" si="177"/>
        <v>0</v>
      </c>
    </row>
    <row r="199" spans="1:16" ht="13.2" x14ac:dyDescent="0.2">
      <c r="A199" s="110"/>
      <c r="B199" s="106"/>
      <c r="C199" s="174" t="s">
        <v>582</v>
      </c>
      <c r="D199" s="106"/>
      <c r="E199" s="112"/>
      <c r="F199" s="120"/>
      <c r="G199" s="121"/>
      <c r="H199" s="122"/>
      <c r="I199" s="121"/>
      <c r="J199" s="121"/>
      <c r="K199" s="179"/>
      <c r="L199" s="184"/>
      <c r="M199" s="121"/>
      <c r="N199" s="121"/>
      <c r="O199" s="121"/>
      <c r="P199" s="123"/>
    </row>
    <row r="200" spans="1:16" ht="13.2" x14ac:dyDescent="0.2">
      <c r="A200" s="113">
        <v>1</v>
      </c>
      <c r="B200" s="149" t="s">
        <v>60</v>
      </c>
      <c r="C200" s="100" t="s">
        <v>524</v>
      </c>
      <c r="D200" s="106" t="s">
        <v>62</v>
      </c>
      <c r="E200" s="112">
        <v>174</v>
      </c>
      <c r="F200" s="120"/>
      <c r="G200" s="121"/>
      <c r="H200" s="122">
        <f t="shared" ref="H200:H208" si="178">ROUND(F200*G200,2)</f>
        <v>0</v>
      </c>
      <c r="I200" s="121"/>
      <c r="J200" s="121"/>
      <c r="K200" s="179">
        <f t="shared" ref="K200" si="179">ROUND(H200+J200+I200,2)</f>
        <v>0</v>
      </c>
      <c r="L200" s="184">
        <f t="shared" ref="L200:L215" si="180">ROUND(E200*F200,2)</f>
        <v>0</v>
      </c>
      <c r="M200" s="121">
        <f t="shared" ref="M200:M215" si="181">ROUND(E200*H200,2)</f>
        <v>0</v>
      </c>
      <c r="N200" s="121">
        <f t="shared" ref="N200:N215" si="182">ROUND(E200*I200,2)</f>
        <v>0</v>
      </c>
      <c r="O200" s="121">
        <f t="shared" ref="O200" si="183">ROUND(E200*J200,2)</f>
        <v>0</v>
      </c>
      <c r="P200" s="123">
        <f t="shared" ref="P200:P215" si="184">ROUND(O200+N200+M200,2)</f>
        <v>0</v>
      </c>
    </row>
    <row r="201" spans="1:16" ht="39.6" x14ac:dyDescent="0.2">
      <c r="A201" s="110">
        <v>2</v>
      </c>
      <c r="B201" s="106" t="s">
        <v>60</v>
      </c>
      <c r="C201" s="100" t="s">
        <v>525</v>
      </c>
      <c r="D201" s="106" t="s">
        <v>73</v>
      </c>
      <c r="E201" s="112">
        <f>26.1*1.05</f>
        <v>27.405000000000001</v>
      </c>
      <c r="F201" s="120"/>
      <c r="G201" s="121"/>
      <c r="H201" s="122">
        <f t="shared" si="178"/>
        <v>0</v>
      </c>
      <c r="I201" s="121"/>
      <c r="J201" s="121"/>
      <c r="K201" s="179"/>
      <c r="L201" s="184">
        <f t="shared" si="180"/>
        <v>0</v>
      </c>
      <c r="M201" s="121">
        <f t="shared" si="181"/>
        <v>0</v>
      </c>
      <c r="N201" s="121">
        <f t="shared" si="182"/>
        <v>0</v>
      </c>
      <c r="O201" s="121">
        <f>ROUND(E201*J201,2)</f>
        <v>0</v>
      </c>
      <c r="P201" s="123">
        <f t="shared" si="184"/>
        <v>0</v>
      </c>
    </row>
    <row r="202" spans="1:16" ht="26.4" x14ac:dyDescent="0.2">
      <c r="A202" s="113">
        <v>3</v>
      </c>
      <c r="B202" s="149" t="s">
        <v>60</v>
      </c>
      <c r="C202" s="108" t="s">
        <v>487</v>
      </c>
      <c r="D202" s="135" t="s">
        <v>62</v>
      </c>
      <c r="E202" s="109">
        <v>69.599999999999994</v>
      </c>
      <c r="F202" s="120"/>
      <c r="G202" s="121"/>
      <c r="H202" s="122">
        <f t="shared" si="178"/>
        <v>0</v>
      </c>
      <c r="I202" s="121"/>
      <c r="J202" s="121"/>
      <c r="K202" s="179">
        <f t="shared" ref="K202" si="185">ROUND(H202+J202+I202,2)</f>
        <v>0</v>
      </c>
      <c r="L202" s="184">
        <f t="shared" si="180"/>
        <v>0</v>
      </c>
      <c r="M202" s="121">
        <f t="shared" si="181"/>
        <v>0</v>
      </c>
      <c r="N202" s="121">
        <f t="shared" si="182"/>
        <v>0</v>
      </c>
      <c r="O202" s="121">
        <f t="shared" ref="O202" si="186">ROUND(E202*J202,2)</f>
        <v>0</v>
      </c>
      <c r="P202" s="123">
        <f t="shared" si="184"/>
        <v>0</v>
      </c>
    </row>
    <row r="203" spans="1:16" ht="13.2" x14ac:dyDescent="0.2">
      <c r="A203" s="113">
        <v>4</v>
      </c>
      <c r="B203" s="106" t="s">
        <v>60</v>
      </c>
      <c r="C203" s="100" t="s">
        <v>488</v>
      </c>
      <c r="D203" s="106" t="s">
        <v>62</v>
      </c>
      <c r="E203" s="112">
        <v>68.400000000000006</v>
      </c>
      <c r="F203" s="120"/>
      <c r="G203" s="121"/>
      <c r="H203" s="122">
        <f t="shared" si="178"/>
        <v>0</v>
      </c>
      <c r="I203" s="121"/>
      <c r="J203" s="121"/>
      <c r="K203" s="179"/>
      <c r="L203" s="184">
        <f t="shared" si="180"/>
        <v>0</v>
      </c>
      <c r="M203" s="121">
        <f t="shared" si="181"/>
        <v>0</v>
      </c>
      <c r="N203" s="121">
        <f t="shared" si="182"/>
        <v>0</v>
      </c>
      <c r="O203" s="121">
        <f>ROUND(E203*J203,2)</f>
        <v>0</v>
      </c>
      <c r="P203" s="123">
        <f t="shared" si="184"/>
        <v>0</v>
      </c>
    </row>
    <row r="204" spans="1:16" ht="26.4" x14ac:dyDescent="0.2">
      <c r="A204" s="110">
        <v>5</v>
      </c>
      <c r="B204" s="106" t="s">
        <v>60</v>
      </c>
      <c r="C204" s="100" t="s">
        <v>505</v>
      </c>
      <c r="D204" s="106" t="s">
        <v>62</v>
      </c>
      <c r="E204" s="112">
        <v>105.6</v>
      </c>
      <c r="F204" s="120"/>
      <c r="G204" s="121"/>
      <c r="H204" s="122">
        <f t="shared" si="178"/>
        <v>0</v>
      </c>
      <c r="I204" s="121"/>
      <c r="J204" s="121"/>
      <c r="K204" s="179"/>
      <c r="L204" s="184">
        <f t="shared" si="180"/>
        <v>0</v>
      </c>
      <c r="M204" s="121">
        <f t="shared" si="181"/>
        <v>0</v>
      </c>
      <c r="N204" s="121">
        <f t="shared" si="182"/>
        <v>0</v>
      </c>
      <c r="O204" s="121">
        <f>ROUND(E204*J204,2)</f>
        <v>0</v>
      </c>
      <c r="P204" s="123">
        <f t="shared" si="184"/>
        <v>0</v>
      </c>
    </row>
    <row r="205" spans="1:16" ht="26.4" x14ac:dyDescent="0.2">
      <c r="A205" s="113">
        <v>6</v>
      </c>
      <c r="B205" s="106" t="s">
        <v>60</v>
      </c>
      <c r="C205" s="100" t="s">
        <v>490</v>
      </c>
      <c r="D205" s="106" t="s">
        <v>62</v>
      </c>
      <c r="E205" s="112">
        <v>68.400000000000006</v>
      </c>
      <c r="F205" s="120"/>
      <c r="G205" s="121"/>
      <c r="H205" s="122">
        <f t="shared" si="178"/>
        <v>0</v>
      </c>
      <c r="I205" s="121"/>
      <c r="J205" s="121"/>
      <c r="K205" s="179">
        <f t="shared" ref="K205:K215" si="187">ROUND(H205+J205+I205,2)</f>
        <v>0</v>
      </c>
      <c r="L205" s="184">
        <f t="shared" si="180"/>
        <v>0</v>
      </c>
      <c r="M205" s="121">
        <f t="shared" si="181"/>
        <v>0</v>
      </c>
      <c r="N205" s="121">
        <f t="shared" si="182"/>
        <v>0</v>
      </c>
      <c r="O205" s="121">
        <f t="shared" ref="O205:O215" si="188">ROUND(E205*J205,2)</f>
        <v>0</v>
      </c>
      <c r="P205" s="123">
        <f t="shared" si="184"/>
        <v>0</v>
      </c>
    </row>
    <row r="206" spans="1:16" ht="13.2" x14ac:dyDescent="0.2">
      <c r="A206" s="113">
        <v>7</v>
      </c>
      <c r="B206" s="106" t="s">
        <v>60</v>
      </c>
      <c r="C206" s="100" t="s">
        <v>491</v>
      </c>
      <c r="D206" s="106" t="s">
        <v>62</v>
      </c>
      <c r="E206" s="112">
        <v>37.200000000000003</v>
      </c>
      <c r="F206" s="120"/>
      <c r="G206" s="121"/>
      <c r="H206" s="122">
        <f t="shared" si="178"/>
        <v>0</v>
      </c>
      <c r="I206" s="121"/>
      <c r="J206" s="121"/>
      <c r="K206" s="179">
        <f t="shared" si="187"/>
        <v>0</v>
      </c>
      <c r="L206" s="184">
        <f t="shared" si="180"/>
        <v>0</v>
      </c>
      <c r="M206" s="121">
        <f t="shared" si="181"/>
        <v>0</v>
      </c>
      <c r="N206" s="121">
        <f t="shared" si="182"/>
        <v>0</v>
      </c>
      <c r="O206" s="121">
        <f t="shared" si="188"/>
        <v>0</v>
      </c>
      <c r="P206" s="123">
        <f t="shared" si="184"/>
        <v>0</v>
      </c>
    </row>
    <row r="207" spans="1:16" ht="13.2" x14ac:dyDescent="0.2">
      <c r="A207" s="110">
        <v>8</v>
      </c>
      <c r="B207" s="106" t="s">
        <v>60</v>
      </c>
      <c r="C207" s="100" t="s">
        <v>103</v>
      </c>
      <c r="D207" s="106" t="s">
        <v>68</v>
      </c>
      <c r="E207" s="112">
        <v>1</v>
      </c>
      <c r="F207" s="120"/>
      <c r="G207" s="121"/>
      <c r="H207" s="122">
        <f t="shared" si="178"/>
        <v>0</v>
      </c>
      <c r="I207" s="121"/>
      <c r="J207" s="121"/>
      <c r="K207" s="179">
        <f t="shared" si="187"/>
        <v>0</v>
      </c>
      <c r="L207" s="184">
        <f t="shared" si="180"/>
        <v>0</v>
      </c>
      <c r="M207" s="121">
        <f t="shared" si="181"/>
        <v>0</v>
      </c>
      <c r="N207" s="121">
        <f t="shared" si="182"/>
        <v>0</v>
      </c>
      <c r="O207" s="121">
        <f t="shared" si="188"/>
        <v>0</v>
      </c>
      <c r="P207" s="123">
        <f t="shared" si="184"/>
        <v>0</v>
      </c>
    </row>
    <row r="208" spans="1:16" ht="13.2" x14ac:dyDescent="0.2">
      <c r="A208" s="113">
        <v>9</v>
      </c>
      <c r="B208" s="106" t="s">
        <v>60</v>
      </c>
      <c r="C208" s="100" t="s">
        <v>112</v>
      </c>
      <c r="D208" s="106" t="s">
        <v>73</v>
      </c>
      <c r="E208" s="112">
        <f>E201</f>
        <v>27.405000000000001</v>
      </c>
      <c r="F208" s="120"/>
      <c r="G208" s="121"/>
      <c r="H208" s="122">
        <f t="shared" si="178"/>
        <v>0</v>
      </c>
      <c r="I208" s="121"/>
      <c r="J208" s="121"/>
      <c r="K208" s="179">
        <f t="shared" si="187"/>
        <v>0</v>
      </c>
      <c r="L208" s="184">
        <f t="shared" si="180"/>
        <v>0</v>
      </c>
      <c r="M208" s="121">
        <f t="shared" si="181"/>
        <v>0</v>
      </c>
      <c r="N208" s="121">
        <f t="shared" si="182"/>
        <v>0</v>
      </c>
      <c r="O208" s="121">
        <f t="shared" si="188"/>
        <v>0</v>
      </c>
      <c r="P208" s="123">
        <f t="shared" si="184"/>
        <v>0</v>
      </c>
    </row>
    <row r="209" spans="1:16" ht="12.75" customHeight="1" x14ac:dyDescent="0.2">
      <c r="A209" s="113">
        <v>10</v>
      </c>
      <c r="B209" s="106"/>
      <c r="C209" s="99" t="s">
        <v>113</v>
      </c>
      <c r="D209" s="106" t="s">
        <v>96</v>
      </c>
      <c r="E209" s="112">
        <f>E208*0.12</f>
        <v>3.2886000000000002</v>
      </c>
      <c r="F209" s="120"/>
      <c r="G209" s="121"/>
      <c r="H209" s="122"/>
      <c r="I209" s="121"/>
      <c r="J209" s="121"/>
      <c r="K209" s="179">
        <f t="shared" si="187"/>
        <v>0</v>
      </c>
      <c r="L209" s="184">
        <f t="shared" si="180"/>
        <v>0</v>
      </c>
      <c r="M209" s="121">
        <f t="shared" si="181"/>
        <v>0</v>
      </c>
      <c r="N209" s="121">
        <f t="shared" si="182"/>
        <v>0</v>
      </c>
      <c r="O209" s="121">
        <f t="shared" si="188"/>
        <v>0</v>
      </c>
      <c r="P209" s="123">
        <f t="shared" si="184"/>
        <v>0</v>
      </c>
    </row>
    <row r="210" spans="1:16" ht="13.2" x14ac:dyDescent="0.2">
      <c r="A210" s="110">
        <v>11</v>
      </c>
      <c r="B210" s="106"/>
      <c r="C210" s="99" t="s">
        <v>376</v>
      </c>
      <c r="D210" s="106" t="s">
        <v>99</v>
      </c>
      <c r="E210" s="112">
        <f>E208*4.5</f>
        <v>123.32250000000001</v>
      </c>
      <c r="F210" s="120"/>
      <c r="G210" s="121"/>
      <c r="H210" s="122"/>
      <c r="I210" s="121"/>
      <c r="J210" s="121"/>
      <c r="K210" s="179">
        <f t="shared" si="187"/>
        <v>0</v>
      </c>
      <c r="L210" s="184">
        <f t="shared" si="180"/>
        <v>0</v>
      </c>
      <c r="M210" s="121">
        <f t="shared" si="181"/>
        <v>0</v>
      </c>
      <c r="N210" s="121">
        <f t="shared" si="182"/>
        <v>0</v>
      </c>
      <c r="O210" s="121">
        <f t="shared" si="188"/>
        <v>0</v>
      </c>
      <c r="P210" s="123">
        <f t="shared" si="184"/>
        <v>0</v>
      </c>
    </row>
    <row r="211" spans="1:16" ht="13.2" x14ac:dyDescent="0.2">
      <c r="A211" s="113">
        <v>12</v>
      </c>
      <c r="B211" s="106"/>
      <c r="C211" s="99" t="s">
        <v>101</v>
      </c>
      <c r="D211" s="106" t="s">
        <v>73</v>
      </c>
      <c r="E211" s="112">
        <f>E208*1.2</f>
        <v>32.886000000000003</v>
      </c>
      <c r="F211" s="120"/>
      <c r="G211" s="121"/>
      <c r="H211" s="122"/>
      <c r="I211" s="121"/>
      <c r="J211" s="121"/>
      <c r="K211" s="179">
        <f t="shared" si="187"/>
        <v>0</v>
      </c>
      <c r="L211" s="184">
        <f t="shared" si="180"/>
        <v>0</v>
      </c>
      <c r="M211" s="121">
        <f t="shared" si="181"/>
        <v>0</v>
      </c>
      <c r="N211" s="121">
        <f t="shared" si="182"/>
        <v>0</v>
      </c>
      <c r="O211" s="121">
        <f t="shared" si="188"/>
        <v>0</v>
      </c>
      <c r="P211" s="123">
        <f t="shared" si="184"/>
        <v>0</v>
      </c>
    </row>
    <row r="212" spans="1:16" ht="13.2" x14ac:dyDescent="0.2">
      <c r="A212" s="113">
        <v>13</v>
      </c>
      <c r="B212" s="106"/>
      <c r="C212" s="99" t="s">
        <v>115</v>
      </c>
      <c r="D212" s="106" t="s">
        <v>62</v>
      </c>
      <c r="E212" s="112">
        <f>1.1*1.1</f>
        <v>1.2100000000000002</v>
      </c>
      <c r="F212" s="120"/>
      <c r="G212" s="121"/>
      <c r="H212" s="122"/>
      <c r="I212" s="121"/>
      <c r="J212" s="121"/>
      <c r="K212" s="179">
        <f t="shared" si="187"/>
        <v>0</v>
      </c>
      <c r="L212" s="184">
        <f t="shared" si="180"/>
        <v>0</v>
      </c>
      <c r="M212" s="121">
        <f t="shared" si="181"/>
        <v>0</v>
      </c>
      <c r="N212" s="121">
        <f t="shared" si="182"/>
        <v>0</v>
      </c>
      <c r="O212" s="121">
        <f t="shared" si="188"/>
        <v>0</v>
      </c>
      <c r="P212" s="123">
        <f t="shared" si="184"/>
        <v>0</v>
      </c>
    </row>
    <row r="213" spans="1:16" ht="13.2" x14ac:dyDescent="0.2">
      <c r="A213" s="110">
        <v>14</v>
      </c>
      <c r="B213" s="106" t="s">
        <v>60</v>
      </c>
      <c r="C213" s="100" t="s">
        <v>117</v>
      </c>
      <c r="D213" s="106" t="s">
        <v>73</v>
      </c>
      <c r="E213" s="112">
        <f>(E206+E205)*0.17</f>
        <v>17.952000000000002</v>
      </c>
      <c r="F213" s="120"/>
      <c r="G213" s="121"/>
      <c r="H213" s="122">
        <f t="shared" ref="H213" si="189">ROUND(F213*G213,2)</f>
        <v>0</v>
      </c>
      <c r="I213" s="121"/>
      <c r="J213" s="121"/>
      <c r="K213" s="179">
        <f t="shared" si="187"/>
        <v>0</v>
      </c>
      <c r="L213" s="184">
        <f t="shared" si="180"/>
        <v>0</v>
      </c>
      <c r="M213" s="121">
        <f t="shared" si="181"/>
        <v>0</v>
      </c>
      <c r="N213" s="121">
        <f t="shared" si="182"/>
        <v>0</v>
      </c>
      <c r="O213" s="121">
        <f t="shared" si="188"/>
        <v>0</v>
      </c>
      <c r="P213" s="123">
        <f t="shared" si="184"/>
        <v>0</v>
      </c>
    </row>
    <row r="214" spans="1:16" ht="26.4" x14ac:dyDescent="0.2">
      <c r="A214" s="113">
        <v>15</v>
      </c>
      <c r="B214" s="106"/>
      <c r="C214" s="99" t="s">
        <v>294</v>
      </c>
      <c r="D214" s="106" t="s">
        <v>96</v>
      </c>
      <c r="E214" s="112">
        <f>E213*0.15</f>
        <v>2.6928000000000001</v>
      </c>
      <c r="F214" s="120"/>
      <c r="G214" s="121"/>
      <c r="H214" s="122"/>
      <c r="I214" s="121"/>
      <c r="J214" s="121"/>
      <c r="K214" s="179">
        <f t="shared" si="187"/>
        <v>0</v>
      </c>
      <c r="L214" s="184">
        <f t="shared" si="180"/>
        <v>0</v>
      </c>
      <c r="M214" s="121">
        <f t="shared" si="181"/>
        <v>0</v>
      </c>
      <c r="N214" s="121">
        <f t="shared" si="182"/>
        <v>0</v>
      </c>
      <c r="O214" s="121">
        <f t="shared" si="188"/>
        <v>0</v>
      </c>
      <c r="P214" s="123">
        <f t="shared" si="184"/>
        <v>0</v>
      </c>
    </row>
    <row r="215" spans="1:16" ht="26.4" x14ac:dyDescent="0.2">
      <c r="A215" s="113">
        <v>16</v>
      </c>
      <c r="B215" s="106"/>
      <c r="C215" s="99" t="s">
        <v>405</v>
      </c>
      <c r="D215" s="106" t="s">
        <v>99</v>
      </c>
      <c r="E215" s="112">
        <f>E213*4</f>
        <v>71.808000000000007</v>
      </c>
      <c r="F215" s="120"/>
      <c r="G215" s="121"/>
      <c r="H215" s="122"/>
      <c r="I215" s="121"/>
      <c r="J215" s="121"/>
      <c r="K215" s="179">
        <f t="shared" si="187"/>
        <v>0</v>
      </c>
      <c r="L215" s="184">
        <f t="shared" si="180"/>
        <v>0</v>
      </c>
      <c r="M215" s="121">
        <f t="shared" si="181"/>
        <v>0</v>
      </c>
      <c r="N215" s="121">
        <f t="shared" si="182"/>
        <v>0</v>
      </c>
      <c r="O215" s="121">
        <f t="shared" si="188"/>
        <v>0</v>
      </c>
      <c r="P215" s="123">
        <f t="shared" si="184"/>
        <v>0</v>
      </c>
    </row>
    <row r="216" spans="1:16" ht="13.2" x14ac:dyDescent="0.2">
      <c r="A216" s="110"/>
      <c r="B216" s="106"/>
      <c r="C216" s="174" t="s">
        <v>506</v>
      </c>
      <c r="D216" s="106"/>
      <c r="E216" s="112"/>
      <c r="F216" s="120"/>
      <c r="G216" s="121"/>
      <c r="H216" s="122"/>
      <c r="I216" s="121"/>
      <c r="J216" s="121"/>
      <c r="K216" s="179"/>
      <c r="L216" s="184"/>
      <c r="M216" s="121"/>
      <c r="N216" s="121"/>
      <c r="O216" s="121"/>
      <c r="P216" s="123"/>
    </row>
    <row r="217" spans="1:16" ht="13.2" x14ac:dyDescent="0.2">
      <c r="A217" s="113">
        <v>1</v>
      </c>
      <c r="B217" s="149" t="s">
        <v>60</v>
      </c>
      <c r="C217" s="100" t="s">
        <v>493</v>
      </c>
      <c r="D217" s="106" t="s">
        <v>62</v>
      </c>
      <c r="E217" s="112">
        <v>174</v>
      </c>
      <c r="F217" s="120"/>
      <c r="G217" s="121"/>
      <c r="H217" s="122">
        <f t="shared" ref="H217:H219" si="190">ROUND(F217*G217,2)</f>
        <v>0</v>
      </c>
      <c r="I217" s="121"/>
      <c r="J217" s="121"/>
      <c r="K217" s="179">
        <f t="shared" ref="K217:K219" si="191">ROUND(H217+J217+I217,2)</f>
        <v>0</v>
      </c>
      <c r="L217" s="184">
        <f t="shared" ref="L217:L219" si="192">ROUND(E217*F217,2)</f>
        <v>0</v>
      </c>
      <c r="M217" s="121">
        <f t="shared" ref="M217:M219" si="193">ROUND(E217*H217,2)</f>
        <v>0</v>
      </c>
      <c r="N217" s="121">
        <f t="shared" ref="N217:N219" si="194">ROUND(E217*I217,2)</f>
        <v>0</v>
      </c>
      <c r="O217" s="121">
        <f t="shared" ref="O217:O219" si="195">ROUND(E217*J217,2)</f>
        <v>0</v>
      </c>
      <c r="P217" s="123">
        <f t="shared" ref="P217:P219" si="196">ROUND(O217+N217+M217,2)</f>
        <v>0</v>
      </c>
    </row>
    <row r="218" spans="1:16" ht="13.2" x14ac:dyDescent="0.2">
      <c r="A218" s="110">
        <v>2</v>
      </c>
      <c r="B218" s="106" t="s">
        <v>60</v>
      </c>
      <c r="C218" s="100" t="s">
        <v>507</v>
      </c>
      <c r="D218" s="106" t="s">
        <v>62</v>
      </c>
      <c r="E218" s="112">
        <v>75.599999999999994</v>
      </c>
      <c r="F218" s="120"/>
      <c r="G218" s="121"/>
      <c r="H218" s="122">
        <f t="shared" si="190"/>
        <v>0</v>
      </c>
      <c r="I218" s="121"/>
      <c r="J218" s="121"/>
      <c r="K218" s="179">
        <f t="shared" si="191"/>
        <v>0</v>
      </c>
      <c r="L218" s="184">
        <f t="shared" si="192"/>
        <v>0</v>
      </c>
      <c r="M218" s="121">
        <f t="shared" si="193"/>
        <v>0</v>
      </c>
      <c r="N218" s="121">
        <f t="shared" si="194"/>
        <v>0</v>
      </c>
      <c r="O218" s="121">
        <f t="shared" si="195"/>
        <v>0</v>
      </c>
      <c r="P218" s="123">
        <f t="shared" si="196"/>
        <v>0</v>
      </c>
    </row>
    <row r="219" spans="1:16" ht="26.4" x14ac:dyDescent="0.2">
      <c r="A219" s="110">
        <v>3</v>
      </c>
      <c r="B219" s="106" t="s">
        <v>60</v>
      </c>
      <c r="C219" s="100" t="s">
        <v>508</v>
      </c>
      <c r="D219" s="106" t="s">
        <v>62</v>
      </c>
      <c r="E219" s="112">
        <v>69</v>
      </c>
      <c r="F219" s="120"/>
      <c r="G219" s="121"/>
      <c r="H219" s="122">
        <f t="shared" si="190"/>
        <v>0</v>
      </c>
      <c r="I219" s="121"/>
      <c r="J219" s="121"/>
      <c r="K219" s="179">
        <f t="shared" si="191"/>
        <v>0</v>
      </c>
      <c r="L219" s="184">
        <f t="shared" si="192"/>
        <v>0</v>
      </c>
      <c r="M219" s="121">
        <f t="shared" si="193"/>
        <v>0</v>
      </c>
      <c r="N219" s="121">
        <f t="shared" si="194"/>
        <v>0</v>
      </c>
      <c r="O219" s="121">
        <f t="shared" si="195"/>
        <v>0</v>
      </c>
      <c r="P219" s="123">
        <f t="shared" si="196"/>
        <v>0</v>
      </c>
    </row>
    <row r="220" spans="1:16" ht="26.4" x14ac:dyDescent="0.2">
      <c r="A220" s="140"/>
      <c r="B220" s="107"/>
      <c r="C220" s="141" t="s">
        <v>530</v>
      </c>
      <c r="D220" s="142"/>
      <c r="E220" s="143"/>
      <c r="F220" s="144"/>
      <c r="G220" s="145"/>
      <c r="H220" s="145"/>
      <c r="I220" s="145"/>
      <c r="J220" s="145"/>
      <c r="K220" s="179"/>
      <c r="L220" s="184"/>
      <c r="M220" s="121"/>
      <c r="N220" s="121"/>
      <c r="O220" s="121"/>
      <c r="P220" s="123"/>
    </row>
    <row r="221" spans="1:16" ht="13.2" x14ac:dyDescent="0.2">
      <c r="A221" s="110">
        <v>1</v>
      </c>
      <c r="B221" s="106" t="s">
        <v>60</v>
      </c>
      <c r="C221" s="100" t="s">
        <v>511</v>
      </c>
      <c r="D221" s="106" t="s">
        <v>62</v>
      </c>
      <c r="E221" s="112">
        <v>118.2</v>
      </c>
      <c r="F221" s="120"/>
      <c r="G221" s="121"/>
      <c r="H221" s="122">
        <f t="shared" ref="H221" si="197">ROUND(F221*G221,2)</f>
        <v>0</v>
      </c>
      <c r="I221" s="121"/>
      <c r="J221" s="121"/>
      <c r="K221" s="179">
        <f t="shared" ref="K221:K228" si="198">ROUND(H221+J221+I221,2)</f>
        <v>0</v>
      </c>
      <c r="L221" s="184">
        <f t="shared" ref="L221:L228" si="199">ROUND(E221*F221,2)</f>
        <v>0</v>
      </c>
      <c r="M221" s="121">
        <f t="shared" ref="M221:M228" si="200">ROUND(E221*H221,2)</f>
        <v>0</v>
      </c>
      <c r="N221" s="121">
        <f t="shared" ref="N221:N228" si="201">ROUND(E221*I221,2)</f>
        <v>0</v>
      </c>
      <c r="O221" s="121">
        <f t="shared" ref="O221:O228" si="202">ROUND(E221*J221,2)</f>
        <v>0</v>
      </c>
      <c r="P221" s="123">
        <f t="shared" ref="P221:P228" si="203">ROUND(O221+N221+M221,2)</f>
        <v>0</v>
      </c>
    </row>
    <row r="222" spans="1:16" ht="13.2" x14ac:dyDescent="0.2">
      <c r="A222" s="110">
        <v>2</v>
      </c>
      <c r="B222" s="106"/>
      <c r="C222" s="99" t="s">
        <v>373</v>
      </c>
      <c r="D222" s="106" t="s">
        <v>96</v>
      </c>
      <c r="E222" s="112">
        <f>E221*0.15*0.3</f>
        <v>5.319</v>
      </c>
      <c r="F222" s="120"/>
      <c r="G222" s="121"/>
      <c r="H222" s="122"/>
      <c r="I222" s="121"/>
      <c r="J222" s="121"/>
      <c r="K222" s="179">
        <f t="shared" si="198"/>
        <v>0</v>
      </c>
      <c r="L222" s="184">
        <f t="shared" si="199"/>
        <v>0</v>
      </c>
      <c r="M222" s="121">
        <f t="shared" si="200"/>
        <v>0</v>
      </c>
      <c r="N222" s="121">
        <f t="shared" si="201"/>
        <v>0</v>
      </c>
      <c r="O222" s="121">
        <f t="shared" si="202"/>
        <v>0</v>
      </c>
      <c r="P222" s="123">
        <f t="shared" si="203"/>
        <v>0</v>
      </c>
    </row>
    <row r="223" spans="1:16" ht="26.4" x14ac:dyDescent="0.2">
      <c r="A223" s="110">
        <v>3</v>
      </c>
      <c r="B223" s="106"/>
      <c r="C223" s="99" t="s">
        <v>108</v>
      </c>
      <c r="D223" s="106" t="s">
        <v>109</v>
      </c>
      <c r="E223" s="112">
        <f>E221*5*1.2*0.3</f>
        <v>212.75999999999996</v>
      </c>
      <c r="F223" s="120"/>
      <c r="G223" s="121"/>
      <c r="H223" s="122"/>
      <c r="I223" s="121"/>
      <c r="J223" s="121"/>
      <c r="K223" s="179">
        <f t="shared" si="198"/>
        <v>0</v>
      </c>
      <c r="L223" s="184">
        <f t="shared" si="199"/>
        <v>0</v>
      </c>
      <c r="M223" s="121">
        <f t="shared" si="200"/>
        <v>0</v>
      </c>
      <c r="N223" s="121">
        <f t="shared" si="201"/>
        <v>0</v>
      </c>
      <c r="O223" s="121">
        <f t="shared" si="202"/>
        <v>0</v>
      </c>
      <c r="P223" s="123">
        <f t="shared" si="203"/>
        <v>0</v>
      </c>
    </row>
    <row r="224" spans="1:16" ht="13.2" x14ac:dyDescent="0.2">
      <c r="A224" s="110">
        <v>4</v>
      </c>
      <c r="B224" s="106"/>
      <c r="C224" s="99" t="s">
        <v>101</v>
      </c>
      <c r="D224" s="106" t="s">
        <v>73</v>
      </c>
      <c r="E224" s="112">
        <f>E221*0.4*1.2</f>
        <v>56.735999999999997</v>
      </c>
      <c r="F224" s="120"/>
      <c r="G224" s="121"/>
      <c r="H224" s="122"/>
      <c r="I224" s="121"/>
      <c r="J224" s="121"/>
      <c r="K224" s="179">
        <f t="shared" si="198"/>
        <v>0</v>
      </c>
      <c r="L224" s="184">
        <f t="shared" si="199"/>
        <v>0</v>
      </c>
      <c r="M224" s="121">
        <f t="shared" si="200"/>
        <v>0</v>
      </c>
      <c r="N224" s="121">
        <f t="shared" si="201"/>
        <v>0</v>
      </c>
      <c r="O224" s="121">
        <f t="shared" si="202"/>
        <v>0</v>
      </c>
      <c r="P224" s="123">
        <f t="shared" si="203"/>
        <v>0</v>
      </c>
    </row>
    <row r="225" spans="1:16" ht="13.2" x14ac:dyDescent="0.2">
      <c r="A225" s="110">
        <v>4</v>
      </c>
      <c r="B225" s="106" t="s">
        <v>60</v>
      </c>
      <c r="C225" s="100" t="s">
        <v>128</v>
      </c>
      <c r="D225" s="106" t="s">
        <v>62</v>
      </c>
      <c r="E225" s="112">
        <f>E221</f>
        <v>118.2</v>
      </c>
      <c r="F225" s="120"/>
      <c r="G225" s="121"/>
      <c r="H225" s="122">
        <f t="shared" ref="H225:H226" si="204">ROUND(F225*G225,2)</f>
        <v>0</v>
      </c>
      <c r="I225" s="121"/>
      <c r="J225" s="121"/>
      <c r="K225" s="179">
        <f t="shared" si="198"/>
        <v>0</v>
      </c>
      <c r="L225" s="184">
        <f t="shared" si="199"/>
        <v>0</v>
      </c>
      <c r="M225" s="121">
        <f t="shared" si="200"/>
        <v>0</v>
      </c>
      <c r="N225" s="121">
        <f t="shared" si="201"/>
        <v>0</v>
      </c>
      <c r="O225" s="121">
        <f t="shared" si="202"/>
        <v>0</v>
      </c>
      <c r="P225" s="123">
        <f t="shared" si="203"/>
        <v>0</v>
      </c>
    </row>
    <row r="226" spans="1:16" ht="13.2" x14ac:dyDescent="0.2">
      <c r="A226" s="110">
        <v>5</v>
      </c>
      <c r="B226" s="106" t="s">
        <v>60</v>
      </c>
      <c r="C226" s="100" t="s">
        <v>528</v>
      </c>
      <c r="D226" s="106" t="s">
        <v>73</v>
      </c>
      <c r="E226" s="112">
        <f>E224</f>
        <v>56.735999999999997</v>
      </c>
      <c r="F226" s="120"/>
      <c r="G226" s="121"/>
      <c r="H226" s="122">
        <f t="shared" si="204"/>
        <v>0</v>
      </c>
      <c r="I226" s="121"/>
      <c r="J226" s="121"/>
      <c r="K226" s="179">
        <f t="shared" si="198"/>
        <v>0</v>
      </c>
      <c r="L226" s="184">
        <f t="shared" si="199"/>
        <v>0</v>
      </c>
      <c r="M226" s="121">
        <f t="shared" si="200"/>
        <v>0</v>
      </c>
      <c r="N226" s="121">
        <f t="shared" si="201"/>
        <v>0</v>
      </c>
      <c r="O226" s="121">
        <f t="shared" si="202"/>
        <v>0</v>
      </c>
      <c r="P226" s="123">
        <f t="shared" si="203"/>
        <v>0</v>
      </c>
    </row>
    <row r="227" spans="1:16" ht="13.2" x14ac:dyDescent="0.2">
      <c r="A227" s="113">
        <v>6</v>
      </c>
      <c r="B227" s="106"/>
      <c r="C227" s="99" t="s">
        <v>262</v>
      </c>
      <c r="D227" s="106" t="s">
        <v>96</v>
      </c>
      <c r="E227" s="112">
        <f>E226*0.17</f>
        <v>9.6451200000000004</v>
      </c>
      <c r="F227" s="120"/>
      <c r="G227" s="121"/>
      <c r="H227" s="122"/>
      <c r="I227" s="121"/>
      <c r="J227" s="121"/>
      <c r="K227" s="179">
        <f t="shared" si="198"/>
        <v>0</v>
      </c>
      <c r="L227" s="184">
        <f t="shared" si="199"/>
        <v>0</v>
      </c>
      <c r="M227" s="121">
        <f t="shared" si="200"/>
        <v>0</v>
      </c>
      <c r="N227" s="121">
        <f t="shared" si="201"/>
        <v>0</v>
      </c>
      <c r="O227" s="121">
        <f t="shared" si="202"/>
        <v>0</v>
      </c>
      <c r="P227" s="123">
        <f t="shared" si="203"/>
        <v>0</v>
      </c>
    </row>
    <row r="228" spans="1:16" ht="13.2" x14ac:dyDescent="0.2">
      <c r="A228" s="110">
        <v>7</v>
      </c>
      <c r="B228" s="106"/>
      <c r="C228" s="99" t="s">
        <v>581</v>
      </c>
      <c r="D228" s="106" t="s">
        <v>96</v>
      </c>
      <c r="E228" s="152">
        <f>E226*0.12*2*1.05</f>
        <v>14.297471999999999</v>
      </c>
      <c r="F228" s="120"/>
      <c r="G228" s="121"/>
      <c r="H228" s="122"/>
      <c r="I228" s="121"/>
      <c r="J228" s="121"/>
      <c r="K228" s="179">
        <f t="shared" si="198"/>
        <v>0</v>
      </c>
      <c r="L228" s="184">
        <f t="shared" si="199"/>
        <v>0</v>
      </c>
      <c r="M228" s="121">
        <f t="shared" si="200"/>
        <v>0</v>
      </c>
      <c r="N228" s="121">
        <f t="shared" si="201"/>
        <v>0</v>
      </c>
      <c r="O228" s="121">
        <f t="shared" si="202"/>
        <v>0</v>
      </c>
      <c r="P228" s="123">
        <f t="shared" si="203"/>
        <v>0</v>
      </c>
    </row>
    <row r="229" spans="1:16" ht="26.4" x14ac:dyDescent="0.2">
      <c r="A229" s="110">
        <v>5</v>
      </c>
      <c r="B229" s="106" t="s">
        <v>60</v>
      </c>
      <c r="C229" s="100" t="s">
        <v>512</v>
      </c>
      <c r="D229" s="106" t="s">
        <v>73</v>
      </c>
      <c r="E229" s="112">
        <v>35.46</v>
      </c>
      <c r="F229" s="120"/>
      <c r="G229" s="121"/>
      <c r="H229" s="122">
        <f t="shared" si="119"/>
        <v>0</v>
      </c>
      <c r="I229" s="121"/>
      <c r="J229" s="121"/>
      <c r="K229" s="179"/>
      <c r="L229" s="184">
        <f t="shared" si="121"/>
        <v>0</v>
      </c>
      <c r="M229" s="121">
        <f t="shared" si="122"/>
        <v>0</v>
      </c>
      <c r="N229" s="121">
        <f t="shared" si="123"/>
        <v>0</v>
      </c>
      <c r="O229" s="121">
        <f>ROUND(E229*J229,2)</f>
        <v>0</v>
      </c>
      <c r="P229" s="123">
        <f t="shared" si="125"/>
        <v>0</v>
      </c>
    </row>
    <row r="230" spans="1:16" ht="39.6" x14ac:dyDescent="0.2">
      <c r="A230" s="163"/>
      <c r="B230" s="164"/>
      <c r="C230" s="165" t="s">
        <v>531</v>
      </c>
      <c r="D230" s="166"/>
      <c r="E230" s="167"/>
      <c r="F230" s="168"/>
      <c r="G230" s="169"/>
      <c r="H230" s="169"/>
      <c r="I230" s="169"/>
      <c r="J230" s="169"/>
      <c r="K230" s="192"/>
      <c r="L230" s="193"/>
      <c r="M230" s="169"/>
      <c r="N230" s="169"/>
      <c r="O230" s="169"/>
      <c r="P230" s="170"/>
    </row>
    <row r="231" spans="1:16" ht="26.4" x14ac:dyDescent="0.2">
      <c r="A231" s="110">
        <v>1</v>
      </c>
      <c r="B231" s="106" t="s">
        <v>60</v>
      </c>
      <c r="C231" s="100" t="s">
        <v>220</v>
      </c>
      <c r="D231" s="106" t="s">
        <v>73</v>
      </c>
      <c r="E231" s="151">
        <v>5.88</v>
      </c>
      <c r="F231" s="120"/>
      <c r="G231" s="121"/>
      <c r="H231" s="122">
        <f>ROUND(F231*G231,2)</f>
        <v>0</v>
      </c>
      <c r="I231" s="121"/>
      <c r="J231" s="121"/>
      <c r="K231" s="179">
        <f>ROUND(H231+J231+I231,2)</f>
        <v>0</v>
      </c>
      <c r="L231" s="184">
        <f>ROUND(E231*F231,2)</f>
        <v>0</v>
      </c>
      <c r="M231" s="121">
        <f>ROUND(E231*H231,2)</f>
        <v>0</v>
      </c>
      <c r="N231" s="121">
        <f>ROUND(E231*I231,2)</f>
        <v>0</v>
      </c>
      <c r="O231" s="121">
        <f>ROUND(E231*J231,2)</f>
        <v>0</v>
      </c>
      <c r="P231" s="123">
        <f>ROUND(O231+N231+M231,2)</f>
        <v>0</v>
      </c>
    </row>
    <row r="232" spans="1:16" ht="13.2" x14ac:dyDescent="0.2">
      <c r="A232" s="110">
        <v>2</v>
      </c>
      <c r="B232" s="106"/>
      <c r="C232" s="99" t="s">
        <v>373</v>
      </c>
      <c r="D232" s="106" t="s">
        <v>96</v>
      </c>
      <c r="E232" s="112">
        <f>E231*0.12</f>
        <v>0.7056</v>
      </c>
      <c r="F232" s="120"/>
      <c r="G232" s="121"/>
      <c r="H232" s="122"/>
      <c r="I232" s="121"/>
      <c r="J232" s="121"/>
      <c r="K232" s="179">
        <f t="shared" ref="K232:K253" si="205">ROUND(H232+J232+I232,2)</f>
        <v>0</v>
      </c>
      <c r="L232" s="184">
        <f t="shared" ref="L232:L253" si="206">ROUND(E232*F232,2)</f>
        <v>0</v>
      </c>
      <c r="M232" s="121">
        <f t="shared" ref="M232:M253" si="207">ROUND(E232*H232,2)</f>
        <v>0</v>
      </c>
      <c r="N232" s="121">
        <f t="shared" ref="N232:N253" si="208">ROUND(E232*I232,2)</f>
        <v>0</v>
      </c>
      <c r="O232" s="121">
        <f t="shared" ref="O232:O253" si="209">ROUND(E232*J232,2)</f>
        <v>0</v>
      </c>
      <c r="P232" s="123">
        <f t="shared" ref="P232:P253" si="210">ROUND(O232+N232+M232,2)</f>
        <v>0</v>
      </c>
    </row>
    <row r="233" spans="1:16" ht="26.4" x14ac:dyDescent="0.2">
      <c r="A233" s="110">
        <v>3</v>
      </c>
      <c r="B233" s="106"/>
      <c r="C233" s="99" t="s">
        <v>108</v>
      </c>
      <c r="D233" s="106" t="s">
        <v>109</v>
      </c>
      <c r="E233" s="152">
        <f>E231*5</f>
        <v>29.4</v>
      </c>
      <c r="F233" s="120"/>
      <c r="G233" s="121"/>
      <c r="H233" s="122"/>
      <c r="I233" s="121"/>
      <c r="J233" s="121"/>
      <c r="K233" s="179">
        <f t="shared" si="205"/>
        <v>0</v>
      </c>
      <c r="L233" s="184">
        <f t="shared" si="206"/>
        <v>0</v>
      </c>
      <c r="M233" s="121">
        <f t="shared" si="207"/>
        <v>0</v>
      </c>
      <c r="N233" s="121">
        <f t="shared" si="208"/>
        <v>0</v>
      </c>
      <c r="O233" s="121">
        <f t="shared" si="209"/>
        <v>0</v>
      </c>
      <c r="P233" s="123">
        <f t="shared" si="210"/>
        <v>0</v>
      </c>
    </row>
    <row r="234" spans="1:16" ht="13.2" x14ac:dyDescent="0.2">
      <c r="A234" s="110">
        <v>4</v>
      </c>
      <c r="B234" s="106" t="s">
        <v>60</v>
      </c>
      <c r="C234" s="100" t="s">
        <v>539</v>
      </c>
      <c r="D234" s="106" t="s">
        <v>73</v>
      </c>
      <c r="E234" s="112">
        <f>E231</f>
        <v>5.88</v>
      </c>
      <c r="F234" s="120"/>
      <c r="G234" s="121"/>
      <c r="H234" s="122">
        <f t="shared" ref="H234:H251" si="211">ROUND(F234*G234,2)</f>
        <v>0</v>
      </c>
      <c r="I234" s="121"/>
      <c r="J234" s="121"/>
      <c r="K234" s="179">
        <f>ROUND(H234+J234+I234,2)</f>
        <v>0</v>
      </c>
      <c r="L234" s="184">
        <f>ROUND(E234*F234,2)</f>
        <v>0</v>
      </c>
      <c r="M234" s="121">
        <f>ROUND(E234*H234,2)</f>
        <v>0</v>
      </c>
      <c r="N234" s="121">
        <f>ROUND(E234*I234,2)</f>
        <v>0</v>
      </c>
      <c r="O234" s="121">
        <f>ROUND(E234*J234,2)</f>
        <v>0</v>
      </c>
      <c r="P234" s="123">
        <f>ROUND(O234+N234+M234,2)</f>
        <v>0</v>
      </c>
    </row>
    <row r="235" spans="1:16" ht="13.2" x14ac:dyDescent="0.2">
      <c r="A235" s="110">
        <v>5</v>
      </c>
      <c r="B235" s="106"/>
      <c r="C235" s="99" t="s">
        <v>373</v>
      </c>
      <c r="D235" s="106" t="s">
        <v>96</v>
      </c>
      <c r="E235" s="112">
        <f>E234*0.12</f>
        <v>0.7056</v>
      </c>
      <c r="F235" s="120"/>
      <c r="G235" s="121"/>
      <c r="H235" s="122"/>
      <c r="I235" s="121"/>
      <c r="J235" s="121"/>
      <c r="K235" s="179">
        <f t="shared" ref="K235:K238" si="212">ROUND(H235+J235+I235,2)</f>
        <v>0</v>
      </c>
      <c r="L235" s="184">
        <f t="shared" ref="L235:L238" si="213">ROUND(E235*F235,2)</f>
        <v>0</v>
      </c>
      <c r="M235" s="121">
        <f t="shared" ref="M235:M238" si="214">ROUND(E235*H235,2)</f>
        <v>0</v>
      </c>
      <c r="N235" s="121">
        <f t="shared" ref="N235:N238" si="215">ROUND(E235*I235,2)</f>
        <v>0</v>
      </c>
      <c r="O235" s="121">
        <f t="shared" ref="O235:O238" si="216">ROUND(E235*J235,2)</f>
        <v>0</v>
      </c>
      <c r="P235" s="123">
        <f t="shared" ref="P235:P238" si="217">ROUND(O235+N235+M235,2)</f>
        <v>0</v>
      </c>
    </row>
    <row r="236" spans="1:16" ht="13.2" x14ac:dyDescent="0.2">
      <c r="A236" s="110">
        <v>6</v>
      </c>
      <c r="B236" s="106"/>
      <c r="C236" s="99" t="s">
        <v>114</v>
      </c>
      <c r="D236" s="106" t="s">
        <v>99</v>
      </c>
      <c r="E236" s="152">
        <f>E234*5</f>
        <v>29.4</v>
      </c>
      <c r="F236" s="120"/>
      <c r="G236" s="121"/>
      <c r="H236" s="122"/>
      <c r="I236" s="121"/>
      <c r="J236" s="121"/>
      <c r="K236" s="179">
        <f t="shared" si="212"/>
        <v>0</v>
      </c>
      <c r="L236" s="184">
        <f t="shared" si="213"/>
        <v>0</v>
      </c>
      <c r="M236" s="121">
        <f t="shared" si="214"/>
        <v>0</v>
      </c>
      <c r="N236" s="121">
        <f t="shared" si="215"/>
        <v>0</v>
      </c>
      <c r="O236" s="121">
        <f t="shared" si="216"/>
        <v>0</v>
      </c>
      <c r="P236" s="123">
        <f t="shared" si="217"/>
        <v>0</v>
      </c>
    </row>
    <row r="237" spans="1:16" ht="26.4" x14ac:dyDescent="0.2">
      <c r="A237" s="110">
        <v>7</v>
      </c>
      <c r="B237" s="106"/>
      <c r="C237" s="99" t="s">
        <v>537</v>
      </c>
      <c r="D237" s="106" t="s">
        <v>64</v>
      </c>
      <c r="E237" s="152">
        <f>ROUND(E231*8.15,0)</f>
        <v>48</v>
      </c>
      <c r="F237" s="120"/>
      <c r="G237" s="121"/>
      <c r="H237" s="122"/>
      <c r="I237" s="121"/>
      <c r="J237" s="121"/>
      <c r="K237" s="179">
        <f t="shared" si="212"/>
        <v>0</v>
      </c>
      <c r="L237" s="184">
        <f t="shared" si="213"/>
        <v>0</v>
      </c>
      <c r="M237" s="121">
        <f t="shared" si="214"/>
        <v>0</v>
      </c>
      <c r="N237" s="121">
        <f t="shared" si="215"/>
        <v>0</v>
      </c>
      <c r="O237" s="121">
        <f t="shared" si="216"/>
        <v>0</v>
      </c>
      <c r="P237" s="123">
        <f t="shared" si="217"/>
        <v>0</v>
      </c>
    </row>
    <row r="238" spans="1:16" ht="13.2" x14ac:dyDescent="0.2">
      <c r="A238" s="110">
        <v>8</v>
      </c>
      <c r="B238" s="106"/>
      <c r="C238" s="99" t="s">
        <v>110</v>
      </c>
      <c r="D238" s="106" t="s">
        <v>64</v>
      </c>
      <c r="E238" s="112">
        <f>E237</f>
        <v>48</v>
      </c>
      <c r="F238" s="120"/>
      <c r="G238" s="121"/>
      <c r="H238" s="122"/>
      <c r="I238" s="121"/>
      <c r="J238" s="121"/>
      <c r="K238" s="179">
        <f t="shared" si="212"/>
        <v>0</v>
      </c>
      <c r="L238" s="184">
        <f t="shared" si="213"/>
        <v>0</v>
      </c>
      <c r="M238" s="121">
        <f t="shared" si="214"/>
        <v>0</v>
      </c>
      <c r="N238" s="121">
        <f t="shared" si="215"/>
        <v>0</v>
      </c>
      <c r="O238" s="121">
        <f t="shared" si="216"/>
        <v>0</v>
      </c>
      <c r="P238" s="123">
        <f t="shared" si="217"/>
        <v>0</v>
      </c>
    </row>
    <row r="239" spans="1:16" ht="39.6" x14ac:dyDescent="0.2">
      <c r="A239" s="110">
        <v>9</v>
      </c>
      <c r="B239" s="106"/>
      <c r="C239" s="99" t="s">
        <v>538</v>
      </c>
      <c r="D239" s="106" t="s">
        <v>73</v>
      </c>
      <c r="E239" s="112">
        <f>E231*1.05</f>
        <v>6.1740000000000004</v>
      </c>
      <c r="F239" s="120"/>
      <c r="G239" s="121"/>
      <c r="H239" s="122"/>
      <c r="I239" s="121"/>
      <c r="J239" s="121"/>
      <c r="K239" s="179">
        <f t="shared" si="205"/>
        <v>0</v>
      </c>
      <c r="L239" s="184">
        <f t="shared" si="206"/>
        <v>0</v>
      </c>
      <c r="M239" s="121">
        <f t="shared" si="207"/>
        <v>0</v>
      </c>
      <c r="N239" s="121">
        <f t="shared" si="208"/>
        <v>0</v>
      </c>
      <c r="O239" s="121">
        <f t="shared" si="209"/>
        <v>0</v>
      </c>
      <c r="P239" s="123">
        <f t="shared" si="210"/>
        <v>0</v>
      </c>
    </row>
    <row r="240" spans="1:16" ht="39.6" x14ac:dyDescent="0.2">
      <c r="A240" s="110">
        <v>10</v>
      </c>
      <c r="B240" s="106"/>
      <c r="C240" s="99" t="s">
        <v>542</v>
      </c>
      <c r="D240" s="106" t="s">
        <v>73</v>
      </c>
      <c r="E240" s="112">
        <v>3.53</v>
      </c>
      <c r="F240" s="120"/>
      <c r="G240" s="121"/>
      <c r="H240" s="122"/>
      <c r="I240" s="121"/>
      <c r="J240" s="121"/>
      <c r="K240" s="179">
        <f t="shared" ref="K240" si="218">ROUND(H240+J240+I240,2)</f>
        <v>0</v>
      </c>
      <c r="L240" s="184">
        <f t="shared" ref="L240" si="219">ROUND(E240*F240,2)</f>
        <v>0</v>
      </c>
      <c r="M240" s="121">
        <f t="shared" ref="M240" si="220">ROUND(E240*H240,2)</f>
        <v>0</v>
      </c>
      <c r="N240" s="121">
        <f t="shared" ref="N240" si="221">ROUND(E240*I240,2)</f>
        <v>0</v>
      </c>
      <c r="O240" s="121">
        <f t="shared" ref="O240" si="222">ROUND(E240*J240,2)</f>
        <v>0</v>
      </c>
      <c r="P240" s="123">
        <f t="shared" ref="P240" si="223">ROUND(O240+N240+M240,2)</f>
        <v>0</v>
      </c>
    </row>
    <row r="241" spans="1:16" ht="13.2" x14ac:dyDescent="0.2">
      <c r="A241" s="110">
        <v>11</v>
      </c>
      <c r="B241" s="106" t="s">
        <v>60</v>
      </c>
      <c r="C241" s="100" t="s">
        <v>112</v>
      </c>
      <c r="D241" s="106" t="s">
        <v>73</v>
      </c>
      <c r="E241" s="112">
        <f>E234</f>
        <v>5.88</v>
      </c>
      <c r="F241" s="120"/>
      <c r="G241" s="121"/>
      <c r="H241" s="122">
        <f t="shared" si="211"/>
        <v>0</v>
      </c>
      <c r="I241" s="121"/>
      <c r="J241" s="121"/>
      <c r="K241" s="179">
        <f t="shared" si="205"/>
        <v>0</v>
      </c>
      <c r="L241" s="184">
        <f t="shared" si="206"/>
        <v>0</v>
      </c>
      <c r="M241" s="121">
        <f t="shared" si="207"/>
        <v>0</v>
      </c>
      <c r="N241" s="121">
        <f t="shared" si="208"/>
        <v>0</v>
      </c>
      <c r="O241" s="121">
        <f t="shared" si="209"/>
        <v>0</v>
      </c>
      <c r="P241" s="123">
        <f t="shared" si="210"/>
        <v>0</v>
      </c>
    </row>
    <row r="242" spans="1:16" ht="13.2" x14ac:dyDescent="0.2">
      <c r="A242" s="110">
        <v>12</v>
      </c>
      <c r="B242" s="106"/>
      <c r="C242" s="99" t="s">
        <v>113</v>
      </c>
      <c r="D242" s="106" t="s">
        <v>96</v>
      </c>
      <c r="E242" s="112">
        <f>E241*0.12</f>
        <v>0.7056</v>
      </c>
      <c r="F242" s="120"/>
      <c r="G242" s="121"/>
      <c r="H242" s="122"/>
      <c r="I242" s="121"/>
      <c r="J242" s="121"/>
      <c r="K242" s="179">
        <f t="shared" si="205"/>
        <v>0</v>
      </c>
      <c r="L242" s="184">
        <f t="shared" si="206"/>
        <v>0</v>
      </c>
      <c r="M242" s="121">
        <f t="shared" si="207"/>
        <v>0</v>
      </c>
      <c r="N242" s="121">
        <f t="shared" si="208"/>
        <v>0</v>
      </c>
      <c r="O242" s="121">
        <f t="shared" si="209"/>
        <v>0</v>
      </c>
      <c r="P242" s="123">
        <f t="shared" si="210"/>
        <v>0</v>
      </c>
    </row>
    <row r="243" spans="1:16" ht="13.2" x14ac:dyDescent="0.2">
      <c r="A243" s="110">
        <v>13</v>
      </c>
      <c r="B243" s="106"/>
      <c r="C243" s="99" t="s">
        <v>540</v>
      </c>
      <c r="D243" s="106" t="s">
        <v>99</v>
      </c>
      <c r="E243" s="152">
        <f>E241*4.5</f>
        <v>26.46</v>
      </c>
      <c r="F243" s="120"/>
      <c r="G243" s="121"/>
      <c r="H243" s="122"/>
      <c r="I243" s="121"/>
      <c r="J243" s="121"/>
      <c r="K243" s="179">
        <f t="shared" si="205"/>
        <v>0</v>
      </c>
      <c r="L243" s="184">
        <f t="shared" si="206"/>
        <v>0</v>
      </c>
      <c r="M243" s="121">
        <f t="shared" si="207"/>
        <v>0</v>
      </c>
      <c r="N243" s="121">
        <f t="shared" si="208"/>
        <v>0</v>
      </c>
      <c r="O243" s="121">
        <f t="shared" si="209"/>
        <v>0</v>
      </c>
      <c r="P243" s="123">
        <f t="shared" si="210"/>
        <v>0</v>
      </c>
    </row>
    <row r="244" spans="1:16" ht="13.2" x14ac:dyDescent="0.2">
      <c r="A244" s="110">
        <v>14</v>
      </c>
      <c r="B244" s="106"/>
      <c r="C244" s="99" t="s">
        <v>101</v>
      </c>
      <c r="D244" s="106" t="s">
        <v>73</v>
      </c>
      <c r="E244" s="112">
        <f>E241*1.2</f>
        <v>7.056</v>
      </c>
      <c r="F244" s="120"/>
      <c r="G244" s="121"/>
      <c r="H244" s="122"/>
      <c r="I244" s="121"/>
      <c r="J244" s="121"/>
      <c r="K244" s="179">
        <f t="shared" si="205"/>
        <v>0</v>
      </c>
      <c r="L244" s="184">
        <f t="shared" si="206"/>
        <v>0</v>
      </c>
      <c r="M244" s="121">
        <f t="shared" si="207"/>
        <v>0</v>
      </c>
      <c r="N244" s="121">
        <f t="shared" si="208"/>
        <v>0</v>
      </c>
      <c r="O244" s="121">
        <f t="shared" si="209"/>
        <v>0</v>
      </c>
      <c r="P244" s="123">
        <f t="shared" si="210"/>
        <v>0</v>
      </c>
    </row>
    <row r="245" spans="1:16" ht="13.2" x14ac:dyDescent="0.2">
      <c r="A245" s="110">
        <v>15</v>
      </c>
      <c r="B245" s="106"/>
      <c r="C245" s="99" t="s">
        <v>516</v>
      </c>
      <c r="D245" s="106" t="s">
        <v>62</v>
      </c>
      <c r="E245" s="112">
        <f>7.7*1.1</f>
        <v>8.4700000000000006</v>
      </c>
      <c r="F245" s="120"/>
      <c r="G245" s="121"/>
      <c r="H245" s="122"/>
      <c r="I245" s="121"/>
      <c r="J245" s="121"/>
      <c r="K245" s="179">
        <f t="shared" si="205"/>
        <v>0</v>
      </c>
      <c r="L245" s="184">
        <f t="shared" si="206"/>
        <v>0</v>
      </c>
      <c r="M245" s="121">
        <f t="shared" si="207"/>
        <v>0</v>
      </c>
      <c r="N245" s="121">
        <f t="shared" si="208"/>
        <v>0</v>
      </c>
      <c r="O245" s="121">
        <f t="shared" si="209"/>
        <v>0</v>
      </c>
      <c r="P245" s="123">
        <f t="shared" si="210"/>
        <v>0</v>
      </c>
    </row>
    <row r="246" spans="1:16" ht="13.2" x14ac:dyDescent="0.2">
      <c r="A246" s="110">
        <v>16</v>
      </c>
      <c r="B246" s="106"/>
      <c r="C246" s="99" t="s">
        <v>313</v>
      </c>
      <c r="D246" s="106" t="s">
        <v>62</v>
      </c>
      <c r="E246" s="112">
        <f>6.2*1.1</f>
        <v>6.8200000000000012</v>
      </c>
      <c r="F246" s="120"/>
      <c r="G246" s="121"/>
      <c r="H246" s="122"/>
      <c r="I246" s="121"/>
      <c r="J246" s="121"/>
      <c r="K246" s="179">
        <f t="shared" si="205"/>
        <v>0</v>
      </c>
      <c r="L246" s="184">
        <f t="shared" si="206"/>
        <v>0</v>
      </c>
      <c r="M246" s="121">
        <f t="shared" si="207"/>
        <v>0</v>
      </c>
      <c r="N246" s="121">
        <f t="shared" si="208"/>
        <v>0</v>
      </c>
      <c r="O246" s="121">
        <f t="shared" si="209"/>
        <v>0</v>
      </c>
      <c r="P246" s="123">
        <f t="shared" si="210"/>
        <v>0</v>
      </c>
    </row>
    <row r="247" spans="1:16" ht="13.2" x14ac:dyDescent="0.2">
      <c r="A247" s="110">
        <v>17</v>
      </c>
      <c r="B247" s="106" t="s">
        <v>60</v>
      </c>
      <c r="C247" s="100" t="s">
        <v>116</v>
      </c>
      <c r="D247" s="106" t="s">
        <v>73</v>
      </c>
      <c r="E247" s="112">
        <v>12.16</v>
      </c>
      <c r="F247" s="120"/>
      <c r="G247" s="121"/>
      <c r="H247" s="122">
        <f t="shared" si="211"/>
        <v>0</v>
      </c>
      <c r="I247" s="121"/>
      <c r="J247" s="121"/>
      <c r="K247" s="179">
        <f t="shared" si="205"/>
        <v>0</v>
      </c>
      <c r="L247" s="184">
        <f t="shared" si="206"/>
        <v>0</v>
      </c>
      <c r="M247" s="121">
        <f t="shared" si="207"/>
        <v>0</v>
      </c>
      <c r="N247" s="121">
        <f t="shared" si="208"/>
        <v>0</v>
      </c>
      <c r="O247" s="121">
        <f t="shared" si="209"/>
        <v>0</v>
      </c>
      <c r="P247" s="123">
        <f t="shared" si="210"/>
        <v>0</v>
      </c>
    </row>
    <row r="248" spans="1:16" ht="13.2" x14ac:dyDescent="0.2">
      <c r="A248" s="110">
        <v>18</v>
      </c>
      <c r="B248" s="106"/>
      <c r="C248" s="99" t="s">
        <v>113</v>
      </c>
      <c r="D248" s="106" t="s">
        <v>96</v>
      </c>
      <c r="E248" s="112">
        <f>E247*0.12</f>
        <v>1.4592000000000001</v>
      </c>
      <c r="F248" s="120"/>
      <c r="G248" s="121"/>
      <c r="H248" s="122"/>
      <c r="I248" s="121"/>
      <c r="J248" s="121"/>
      <c r="K248" s="179">
        <f t="shared" si="205"/>
        <v>0</v>
      </c>
      <c r="L248" s="184">
        <f t="shared" si="206"/>
        <v>0</v>
      </c>
      <c r="M248" s="121">
        <f t="shared" si="207"/>
        <v>0</v>
      </c>
      <c r="N248" s="121">
        <f t="shared" si="208"/>
        <v>0</v>
      </c>
      <c r="O248" s="121">
        <f t="shared" si="209"/>
        <v>0</v>
      </c>
      <c r="P248" s="123">
        <f t="shared" si="210"/>
        <v>0</v>
      </c>
    </row>
    <row r="249" spans="1:16" ht="13.2" x14ac:dyDescent="0.2">
      <c r="A249" s="110">
        <v>19</v>
      </c>
      <c r="B249" s="106"/>
      <c r="C249" s="99" t="s">
        <v>540</v>
      </c>
      <c r="D249" s="106" t="s">
        <v>99</v>
      </c>
      <c r="E249" s="112">
        <f>E247*4.5*1.5</f>
        <v>82.08</v>
      </c>
      <c r="F249" s="120"/>
      <c r="G249" s="121"/>
      <c r="H249" s="122"/>
      <c r="I249" s="121"/>
      <c r="J249" s="121"/>
      <c r="K249" s="179">
        <f t="shared" si="205"/>
        <v>0</v>
      </c>
      <c r="L249" s="184">
        <f t="shared" si="206"/>
        <v>0</v>
      </c>
      <c r="M249" s="121">
        <f t="shared" si="207"/>
        <v>0</v>
      </c>
      <c r="N249" s="121">
        <f t="shared" si="208"/>
        <v>0</v>
      </c>
      <c r="O249" s="121">
        <f t="shared" si="209"/>
        <v>0</v>
      </c>
      <c r="P249" s="123">
        <f t="shared" si="210"/>
        <v>0</v>
      </c>
    </row>
    <row r="250" spans="1:16" ht="13.2" x14ac:dyDescent="0.2">
      <c r="A250" s="110">
        <v>20</v>
      </c>
      <c r="B250" s="106"/>
      <c r="C250" s="99" t="s">
        <v>101</v>
      </c>
      <c r="D250" s="106" t="s">
        <v>73</v>
      </c>
      <c r="E250" s="112">
        <f>E247*1.2*2</f>
        <v>29.183999999999997</v>
      </c>
      <c r="F250" s="120"/>
      <c r="G250" s="121"/>
      <c r="H250" s="122"/>
      <c r="I250" s="121"/>
      <c r="J250" s="121"/>
      <c r="K250" s="179">
        <f t="shared" si="205"/>
        <v>0</v>
      </c>
      <c r="L250" s="184">
        <f t="shared" si="206"/>
        <v>0</v>
      </c>
      <c r="M250" s="121">
        <f t="shared" si="207"/>
        <v>0</v>
      </c>
      <c r="N250" s="121">
        <f t="shared" si="208"/>
        <v>0</v>
      </c>
      <c r="O250" s="121">
        <f t="shared" si="209"/>
        <v>0</v>
      </c>
      <c r="P250" s="123">
        <f t="shared" si="210"/>
        <v>0</v>
      </c>
    </row>
    <row r="251" spans="1:16" ht="13.2" x14ac:dyDescent="0.2">
      <c r="A251" s="110">
        <v>21</v>
      </c>
      <c r="B251" s="106" t="s">
        <v>60</v>
      </c>
      <c r="C251" s="100" t="s">
        <v>117</v>
      </c>
      <c r="D251" s="106" t="s">
        <v>73</v>
      </c>
      <c r="E251" s="112">
        <f>E241</f>
        <v>5.88</v>
      </c>
      <c r="F251" s="120"/>
      <c r="G251" s="121"/>
      <c r="H251" s="122">
        <f t="shared" si="211"/>
        <v>0</v>
      </c>
      <c r="I251" s="121"/>
      <c r="J251" s="121"/>
      <c r="K251" s="179">
        <f t="shared" si="205"/>
        <v>0</v>
      </c>
      <c r="L251" s="184">
        <f t="shared" si="206"/>
        <v>0</v>
      </c>
      <c r="M251" s="121">
        <f t="shared" si="207"/>
        <v>0</v>
      </c>
      <c r="N251" s="121">
        <f t="shared" si="208"/>
        <v>0</v>
      </c>
      <c r="O251" s="121">
        <f t="shared" si="209"/>
        <v>0</v>
      </c>
      <c r="P251" s="123">
        <f t="shared" si="210"/>
        <v>0</v>
      </c>
    </row>
    <row r="252" spans="1:16" ht="26.4" x14ac:dyDescent="0.2">
      <c r="A252" s="110">
        <v>22</v>
      </c>
      <c r="B252" s="106"/>
      <c r="C252" s="99" t="s">
        <v>291</v>
      </c>
      <c r="D252" s="106" t="s">
        <v>96</v>
      </c>
      <c r="E252" s="112">
        <f>E251*0.12</f>
        <v>0.7056</v>
      </c>
      <c r="F252" s="120"/>
      <c r="G252" s="121"/>
      <c r="H252" s="122"/>
      <c r="I252" s="121"/>
      <c r="J252" s="121"/>
      <c r="K252" s="179">
        <f t="shared" si="205"/>
        <v>0</v>
      </c>
      <c r="L252" s="184">
        <f t="shared" si="206"/>
        <v>0</v>
      </c>
      <c r="M252" s="121">
        <f t="shared" si="207"/>
        <v>0</v>
      </c>
      <c r="N252" s="121">
        <f t="shared" si="208"/>
        <v>0</v>
      </c>
      <c r="O252" s="121">
        <f t="shared" si="209"/>
        <v>0</v>
      </c>
      <c r="P252" s="123">
        <f t="shared" si="210"/>
        <v>0</v>
      </c>
    </row>
    <row r="253" spans="1:16" ht="26.4" x14ac:dyDescent="0.2">
      <c r="A253" s="110">
        <v>23</v>
      </c>
      <c r="B253" s="106"/>
      <c r="C253" s="99" t="s">
        <v>541</v>
      </c>
      <c r="D253" s="106" t="s">
        <v>99</v>
      </c>
      <c r="E253" s="112">
        <f>E251*4</f>
        <v>23.52</v>
      </c>
      <c r="F253" s="120"/>
      <c r="G253" s="121"/>
      <c r="H253" s="122"/>
      <c r="I253" s="121"/>
      <c r="J253" s="121"/>
      <c r="K253" s="179">
        <f t="shared" si="205"/>
        <v>0</v>
      </c>
      <c r="L253" s="184">
        <f t="shared" si="206"/>
        <v>0</v>
      </c>
      <c r="M253" s="121">
        <f t="shared" si="207"/>
        <v>0</v>
      </c>
      <c r="N253" s="121">
        <f t="shared" si="208"/>
        <v>0</v>
      </c>
      <c r="O253" s="121">
        <f t="shared" si="209"/>
        <v>0</v>
      </c>
      <c r="P253" s="123">
        <f t="shared" si="210"/>
        <v>0</v>
      </c>
    </row>
    <row r="254" spans="1:16" ht="39.6" x14ac:dyDescent="0.2">
      <c r="A254" s="163"/>
      <c r="B254" s="164"/>
      <c r="C254" s="165" t="s">
        <v>532</v>
      </c>
      <c r="D254" s="166"/>
      <c r="E254" s="167"/>
      <c r="F254" s="168"/>
      <c r="G254" s="169"/>
      <c r="H254" s="169"/>
      <c r="I254" s="169"/>
      <c r="J254" s="169"/>
      <c r="K254" s="192"/>
      <c r="L254" s="193"/>
      <c r="M254" s="169"/>
      <c r="N254" s="169"/>
      <c r="O254" s="169"/>
      <c r="P254" s="170"/>
    </row>
    <row r="255" spans="1:16" ht="26.4" x14ac:dyDescent="0.2">
      <c r="A255" s="110">
        <v>1</v>
      </c>
      <c r="B255" s="106" t="s">
        <v>60</v>
      </c>
      <c r="C255" s="100" t="s">
        <v>517</v>
      </c>
      <c r="D255" s="106" t="s">
        <v>73</v>
      </c>
      <c r="E255" s="151">
        <v>12.16</v>
      </c>
      <c r="F255" s="120"/>
      <c r="G255" s="121"/>
      <c r="H255" s="122">
        <f>ROUND(F255*G255,2)</f>
        <v>0</v>
      </c>
      <c r="I255" s="121"/>
      <c r="J255" s="121"/>
      <c r="K255" s="179">
        <f>ROUND(H255+J255+I255,2)</f>
        <v>0</v>
      </c>
      <c r="L255" s="184">
        <f>ROUND(E255*F255,2)</f>
        <v>0</v>
      </c>
      <c r="M255" s="121">
        <f>ROUND(E255*H255,2)</f>
        <v>0</v>
      </c>
      <c r="N255" s="121">
        <f>ROUND(E255*I255,2)</f>
        <v>0</v>
      </c>
      <c r="O255" s="121">
        <f>ROUND(E255*J255,2)</f>
        <v>0</v>
      </c>
      <c r="P255" s="123">
        <f>ROUND(O255+N255+M255,2)</f>
        <v>0</v>
      </c>
    </row>
    <row r="256" spans="1:16" ht="13.2" x14ac:dyDescent="0.2">
      <c r="A256" s="110">
        <v>2</v>
      </c>
      <c r="B256" s="106"/>
      <c r="C256" s="99" t="s">
        <v>373</v>
      </c>
      <c r="D256" s="106" t="s">
        <v>96</v>
      </c>
      <c r="E256" s="112">
        <f>E255*0.12</f>
        <v>1.4592000000000001</v>
      </c>
      <c r="F256" s="120"/>
      <c r="G256" s="121"/>
      <c r="H256" s="122"/>
      <c r="I256" s="121"/>
      <c r="J256" s="121"/>
      <c r="K256" s="179">
        <f t="shared" ref="K256:K257" si="224">ROUND(H256+J256+I256,2)</f>
        <v>0</v>
      </c>
      <c r="L256" s="184">
        <f t="shared" ref="L256:L257" si="225">ROUND(E256*F256,2)</f>
        <v>0</v>
      </c>
      <c r="M256" s="121">
        <f t="shared" ref="M256:M257" si="226">ROUND(E256*H256,2)</f>
        <v>0</v>
      </c>
      <c r="N256" s="121">
        <f t="shared" ref="N256:N257" si="227">ROUND(E256*I256,2)</f>
        <v>0</v>
      </c>
      <c r="O256" s="121">
        <f t="shared" ref="O256:O257" si="228">ROUND(E256*J256,2)</f>
        <v>0</v>
      </c>
      <c r="P256" s="123">
        <f t="shared" ref="P256:P257" si="229">ROUND(O256+N256+M256,2)</f>
        <v>0</v>
      </c>
    </row>
    <row r="257" spans="1:16" ht="26.4" x14ac:dyDescent="0.2">
      <c r="A257" s="110">
        <v>3</v>
      </c>
      <c r="B257" s="106"/>
      <c r="C257" s="99" t="s">
        <v>108</v>
      </c>
      <c r="D257" s="106" t="s">
        <v>109</v>
      </c>
      <c r="E257" s="152">
        <f>E255*5</f>
        <v>60.8</v>
      </c>
      <c r="F257" s="120"/>
      <c r="G257" s="121"/>
      <c r="H257" s="122"/>
      <c r="I257" s="121"/>
      <c r="J257" s="121"/>
      <c r="K257" s="179">
        <f t="shared" si="224"/>
        <v>0</v>
      </c>
      <c r="L257" s="184">
        <f t="shared" si="225"/>
        <v>0</v>
      </c>
      <c r="M257" s="121">
        <f t="shared" si="226"/>
        <v>0</v>
      </c>
      <c r="N257" s="121">
        <f t="shared" si="227"/>
        <v>0</v>
      </c>
      <c r="O257" s="121">
        <f t="shared" si="228"/>
        <v>0</v>
      </c>
      <c r="P257" s="123">
        <f t="shared" si="229"/>
        <v>0</v>
      </c>
    </row>
    <row r="258" spans="1:16" ht="13.2" x14ac:dyDescent="0.2">
      <c r="A258" s="110">
        <v>4</v>
      </c>
      <c r="B258" s="106" t="s">
        <v>60</v>
      </c>
      <c r="C258" s="100" t="s">
        <v>102</v>
      </c>
      <c r="D258" s="106" t="s">
        <v>73</v>
      </c>
      <c r="E258" s="112">
        <f>E255</f>
        <v>12.16</v>
      </c>
      <c r="F258" s="120"/>
      <c r="G258" s="121"/>
      <c r="H258" s="122">
        <f t="shared" ref="H258" si="230">ROUND(F258*G258,2)</f>
        <v>0</v>
      </c>
      <c r="I258" s="121"/>
      <c r="J258" s="121"/>
      <c r="K258" s="179">
        <f>ROUND(H258+J258+I258,2)</f>
        <v>0</v>
      </c>
      <c r="L258" s="184">
        <f>ROUND(E258*F258,2)</f>
        <v>0</v>
      </c>
      <c r="M258" s="121">
        <f>ROUND(E258*H258,2)</f>
        <v>0</v>
      </c>
      <c r="N258" s="121">
        <f>ROUND(E258*I258,2)</f>
        <v>0</v>
      </c>
      <c r="O258" s="121">
        <f>ROUND(E258*J258,2)</f>
        <v>0</v>
      </c>
      <c r="P258" s="123">
        <f>ROUND(O258+N258+M258,2)</f>
        <v>0</v>
      </c>
    </row>
    <row r="259" spans="1:16" ht="13.2" x14ac:dyDescent="0.2">
      <c r="A259" s="110">
        <v>5</v>
      </c>
      <c r="B259" s="106"/>
      <c r="C259" s="99" t="s">
        <v>373</v>
      </c>
      <c r="D259" s="106" t="s">
        <v>96</v>
      </c>
      <c r="E259" s="112">
        <f>E258*0.12</f>
        <v>1.4592000000000001</v>
      </c>
      <c r="F259" s="120"/>
      <c r="G259" s="121"/>
      <c r="H259" s="122"/>
      <c r="I259" s="121"/>
      <c r="J259" s="121"/>
      <c r="K259" s="179">
        <f t="shared" ref="K259:K271" si="231">ROUND(H259+J259+I259,2)</f>
        <v>0</v>
      </c>
      <c r="L259" s="184">
        <f t="shared" ref="L259:L271" si="232">ROUND(E259*F259,2)</f>
        <v>0</v>
      </c>
      <c r="M259" s="121">
        <f t="shared" ref="M259:M271" si="233">ROUND(E259*H259,2)</f>
        <v>0</v>
      </c>
      <c r="N259" s="121">
        <f t="shared" ref="N259:N271" si="234">ROUND(E259*I259,2)</f>
        <v>0</v>
      </c>
      <c r="O259" s="121">
        <f t="shared" ref="O259:O271" si="235">ROUND(E259*J259,2)</f>
        <v>0</v>
      </c>
      <c r="P259" s="123">
        <f t="shared" ref="P259:P271" si="236">ROUND(O259+N259+M259,2)</f>
        <v>0</v>
      </c>
    </row>
    <row r="260" spans="1:16" ht="13.2" x14ac:dyDescent="0.2">
      <c r="A260" s="110">
        <v>6</v>
      </c>
      <c r="B260" s="106"/>
      <c r="C260" s="99" t="s">
        <v>114</v>
      </c>
      <c r="D260" s="106" t="s">
        <v>99</v>
      </c>
      <c r="E260" s="152">
        <f>E258*5</f>
        <v>60.8</v>
      </c>
      <c r="F260" s="120"/>
      <c r="G260" s="121"/>
      <c r="H260" s="122"/>
      <c r="I260" s="121"/>
      <c r="J260" s="121"/>
      <c r="K260" s="179">
        <f t="shared" si="231"/>
        <v>0</v>
      </c>
      <c r="L260" s="184">
        <f t="shared" si="232"/>
        <v>0</v>
      </c>
      <c r="M260" s="121">
        <f t="shared" si="233"/>
        <v>0</v>
      </c>
      <c r="N260" s="121">
        <f t="shared" si="234"/>
        <v>0</v>
      </c>
      <c r="O260" s="121">
        <f t="shared" si="235"/>
        <v>0</v>
      </c>
      <c r="P260" s="123">
        <f t="shared" si="236"/>
        <v>0</v>
      </c>
    </row>
    <row r="261" spans="1:16" ht="26.4" x14ac:dyDescent="0.2">
      <c r="A261" s="110">
        <v>7</v>
      </c>
      <c r="B261" s="106"/>
      <c r="C261" s="99" t="s">
        <v>537</v>
      </c>
      <c r="D261" s="106" t="s">
        <v>64</v>
      </c>
      <c r="E261" s="152">
        <f>ROUND(E255*8.15,0)</f>
        <v>99</v>
      </c>
      <c r="F261" s="120"/>
      <c r="G261" s="121"/>
      <c r="H261" s="122"/>
      <c r="I261" s="121"/>
      <c r="J261" s="121"/>
      <c r="K261" s="179">
        <f t="shared" si="231"/>
        <v>0</v>
      </c>
      <c r="L261" s="184">
        <f t="shared" si="232"/>
        <v>0</v>
      </c>
      <c r="M261" s="121">
        <f t="shared" si="233"/>
        <v>0</v>
      </c>
      <c r="N261" s="121">
        <f t="shared" si="234"/>
        <v>0</v>
      </c>
      <c r="O261" s="121">
        <f t="shared" si="235"/>
        <v>0</v>
      </c>
      <c r="P261" s="123">
        <f t="shared" si="236"/>
        <v>0</v>
      </c>
    </row>
    <row r="262" spans="1:16" ht="13.2" x14ac:dyDescent="0.2">
      <c r="A262" s="110">
        <v>8</v>
      </c>
      <c r="B262" s="106"/>
      <c r="C262" s="99" t="s">
        <v>110</v>
      </c>
      <c r="D262" s="106" t="s">
        <v>64</v>
      </c>
      <c r="E262" s="112">
        <f>E261</f>
        <v>99</v>
      </c>
      <c r="F262" s="120"/>
      <c r="G262" s="121"/>
      <c r="H262" s="122"/>
      <c r="I262" s="121"/>
      <c r="J262" s="121"/>
      <c r="K262" s="179">
        <f t="shared" si="231"/>
        <v>0</v>
      </c>
      <c r="L262" s="184">
        <f t="shared" si="232"/>
        <v>0</v>
      </c>
      <c r="M262" s="121">
        <f t="shared" si="233"/>
        <v>0</v>
      </c>
      <c r="N262" s="121">
        <f t="shared" si="234"/>
        <v>0</v>
      </c>
      <c r="O262" s="121">
        <f t="shared" si="235"/>
        <v>0</v>
      </c>
      <c r="P262" s="123">
        <f t="shared" si="236"/>
        <v>0</v>
      </c>
    </row>
    <row r="263" spans="1:16" ht="39.6" x14ac:dyDescent="0.2">
      <c r="A263" s="110">
        <v>9</v>
      </c>
      <c r="B263" s="106"/>
      <c r="C263" s="99" t="s">
        <v>538</v>
      </c>
      <c r="D263" s="106" t="s">
        <v>73</v>
      </c>
      <c r="E263" s="112">
        <f>E255*1.05</f>
        <v>12.768000000000001</v>
      </c>
      <c r="F263" s="120"/>
      <c r="G263" s="121"/>
      <c r="H263" s="122"/>
      <c r="I263" s="121"/>
      <c r="J263" s="121"/>
      <c r="K263" s="179">
        <f t="shared" si="231"/>
        <v>0</v>
      </c>
      <c r="L263" s="184">
        <f t="shared" si="232"/>
        <v>0</v>
      </c>
      <c r="M263" s="121">
        <f t="shared" si="233"/>
        <v>0</v>
      </c>
      <c r="N263" s="121">
        <f t="shared" si="234"/>
        <v>0</v>
      </c>
      <c r="O263" s="121">
        <f t="shared" si="235"/>
        <v>0</v>
      </c>
      <c r="P263" s="123">
        <f t="shared" si="236"/>
        <v>0</v>
      </c>
    </row>
    <row r="264" spans="1:16" ht="13.2" x14ac:dyDescent="0.2">
      <c r="A264" s="110">
        <v>10</v>
      </c>
      <c r="B264" s="106" t="s">
        <v>60</v>
      </c>
      <c r="C264" s="100" t="s">
        <v>112</v>
      </c>
      <c r="D264" s="106" t="s">
        <v>73</v>
      </c>
      <c r="E264" s="112">
        <f>E258</f>
        <v>12.16</v>
      </c>
      <c r="F264" s="120"/>
      <c r="G264" s="121"/>
      <c r="H264" s="122">
        <f t="shared" ref="H264" si="237">ROUND(F264*G264,2)</f>
        <v>0</v>
      </c>
      <c r="I264" s="121"/>
      <c r="J264" s="121"/>
      <c r="K264" s="179">
        <f t="shared" si="231"/>
        <v>0</v>
      </c>
      <c r="L264" s="184">
        <f t="shared" si="232"/>
        <v>0</v>
      </c>
      <c r="M264" s="121">
        <f t="shared" si="233"/>
        <v>0</v>
      </c>
      <c r="N264" s="121">
        <f t="shared" si="234"/>
        <v>0</v>
      </c>
      <c r="O264" s="121">
        <f t="shared" si="235"/>
        <v>0</v>
      </c>
      <c r="P264" s="123">
        <f t="shared" si="236"/>
        <v>0</v>
      </c>
    </row>
    <row r="265" spans="1:16" ht="13.2" x14ac:dyDescent="0.2">
      <c r="A265" s="110">
        <v>11</v>
      </c>
      <c r="B265" s="106"/>
      <c r="C265" s="99" t="s">
        <v>514</v>
      </c>
      <c r="D265" s="106" t="s">
        <v>96</v>
      </c>
      <c r="E265" s="112">
        <f>E264*0.12</f>
        <v>1.4592000000000001</v>
      </c>
      <c r="F265" s="120"/>
      <c r="G265" s="121"/>
      <c r="H265" s="122"/>
      <c r="I265" s="121"/>
      <c r="J265" s="121"/>
      <c r="K265" s="179">
        <f t="shared" si="231"/>
        <v>0</v>
      </c>
      <c r="L265" s="184">
        <f t="shared" si="232"/>
        <v>0</v>
      </c>
      <c r="M265" s="121">
        <f t="shared" si="233"/>
        <v>0</v>
      </c>
      <c r="N265" s="121">
        <f t="shared" si="234"/>
        <v>0</v>
      </c>
      <c r="O265" s="121">
        <f t="shared" si="235"/>
        <v>0</v>
      </c>
      <c r="P265" s="123">
        <f t="shared" si="236"/>
        <v>0</v>
      </c>
    </row>
    <row r="266" spans="1:16" ht="13.2" x14ac:dyDescent="0.2">
      <c r="A266" s="110">
        <v>12</v>
      </c>
      <c r="B266" s="106"/>
      <c r="C266" s="99" t="s">
        <v>290</v>
      </c>
      <c r="D266" s="106" t="s">
        <v>99</v>
      </c>
      <c r="E266" s="152">
        <f>E264*4.5</f>
        <v>54.72</v>
      </c>
      <c r="F266" s="120"/>
      <c r="G266" s="121"/>
      <c r="H266" s="122"/>
      <c r="I266" s="121"/>
      <c r="J266" s="121"/>
      <c r="K266" s="179">
        <f t="shared" si="231"/>
        <v>0</v>
      </c>
      <c r="L266" s="184">
        <f t="shared" si="232"/>
        <v>0</v>
      </c>
      <c r="M266" s="121">
        <f t="shared" si="233"/>
        <v>0</v>
      </c>
      <c r="N266" s="121">
        <f t="shared" si="234"/>
        <v>0</v>
      </c>
      <c r="O266" s="121">
        <f t="shared" si="235"/>
        <v>0</v>
      </c>
      <c r="P266" s="123">
        <f t="shared" si="236"/>
        <v>0</v>
      </c>
    </row>
    <row r="267" spans="1:16" ht="13.2" x14ac:dyDescent="0.2">
      <c r="A267" s="110">
        <v>13</v>
      </c>
      <c r="B267" s="106"/>
      <c r="C267" s="99" t="s">
        <v>101</v>
      </c>
      <c r="D267" s="106" t="s">
        <v>73</v>
      </c>
      <c r="E267" s="112">
        <f>E264*1.2</f>
        <v>14.591999999999999</v>
      </c>
      <c r="F267" s="120"/>
      <c r="G267" s="121"/>
      <c r="H267" s="122"/>
      <c r="I267" s="121"/>
      <c r="J267" s="121"/>
      <c r="K267" s="179">
        <f t="shared" si="231"/>
        <v>0</v>
      </c>
      <c r="L267" s="184">
        <f t="shared" si="232"/>
        <v>0</v>
      </c>
      <c r="M267" s="121">
        <f t="shared" si="233"/>
        <v>0</v>
      </c>
      <c r="N267" s="121">
        <f t="shared" si="234"/>
        <v>0</v>
      </c>
      <c r="O267" s="121">
        <f t="shared" si="235"/>
        <v>0</v>
      </c>
      <c r="P267" s="123">
        <f t="shared" si="236"/>
        <v>0</v>
      </c>
    </row>
    <row r="268" spans="1:16" ht="13.2" x14ac:dyDescent="0.2">
      <c r="A268" s="110">
        <v>14</v>
      </c>
      <c r="B268" s="106"/>
      <c r="C268" s="99" t="s">
        <v>518</v>
      </c>
      <c r="D268" s="106" t="s">
        <v>62</v>
      </c>
      <c r="E268" s="112">
        <f>5.1*2*1.1</f>
        <v>11.22</v>
      </c>
      <c r="F268" s="120"/>
      <c r="G268" s="121"/>
      <c r="H268" s="122"/>
      <c r="I268" s="121"/>
      <c r="J268" s="121"/>
      <c r="K268" s="179">
        <f t="shared" si="231"/>
        <v>0</v>
      </c>
      <c r="L268" s="184">
        <f t="shared" si="232"/>
        <v>0</v>
      </c>
      <c r="M268" s="121">
        <f t="shared" si="233"/>
        <v>0</v>
      </c>
      <c r="N268" s="121">
        <f t="shared" si="234"/>
        <v>0</v>
      </c>
      <c r="O268" s="121">
        <f t="shared" si="235"/>
        <v>0</v>
      </c>
      <c r="P268" s="123">
        <f t="shared" si="236"/>
        <v>0</v>
      </c>
    </row>
    <row r="269" spans="1:16" ht="13.2" x14ac:dyDescent="0.2">
      <c r="A269" s="110">
        <v>15</v>
      </c>
      <c r="B269" s="106" t="s">
        <v>60</v>
      </c>
      <c r="C269" s="100" t="s">
        <v>117</v>
      </c>
      <c r="D269" s="106" t="s">
        <v>73</v>
      </c>
      <c r="E269" s="112">
        <f>E264</f>
        <v>12.16</v>
      </c>
      <c r="F269" s="120"/>
      <c r="G269" s="121"/>
      <c r="H269" s="122">
        <f t="shared" ref="H269" si="238">ROUND(F269*G269,2)</f>
        <v>0</v>
      </c>
      <c r="I269" s="121"/>
      <c r="J269" s="121"/>
      <c r="K269" s="179">
        <f t="shared" si="231"/>
        <v>0</v>
      </c>
      <c r="L269" s="184">
        <f t="shared" si="232"/>
        <v>0</v>
      </c>
      <c r="M269" s="121">
        <f t="shared" si="233"/>
        <v>0</v>
      </c>
      <c r="N269" s="121">
        <f t="shared" si="234"/>
        <v>0</v>
      </c>
      <c r="O269" s="121">
        <f t="shared" si="235"/>
        <v>0</v>
      </c>
      <c r="P269" s="123">
        <f t="shared" si="236"/>
        <v>0</v>
      </c>
    </row>
    <row r="270" spans="1:16" ht="26.4" x14ac:dyDescent="0.2">
      <c r="A270" s="110">
        <v>16</v>
      </c>
      <c r="B270" s="106"/>
      <c r="C270" s="99" t="s">
        <v>291</v>
      </c>
      <c r="D270" s="106" t="s">
        <v>96</v>
      </c>
      <c r="E270" s="112">
        <f>E269*0.12</f>
        <v>1.4592000000000001</v>
      </c>
      <c r="F270" s="120"/>
      <c r="G270" s="121"/>
      <c r="H270" s="122"/>
      <c r="I270" s="121"/>
      <c r="J270" s="121"/>
      <c r="K270" s="179">
        <f t="shared" si="231"/>
        <v>0</v>
      </c>
      <c r="L270" s="184">
        <f t="shared" si="232"/>
        <v>0</v>
      </c>
      <c r="M270" s="121">
        <f t="shared" si="233"/>
        <v>0</v>
      </c>
      <c r="N270" s="121">
        <f t="shared" si="234"/>
        <v>0</v>
      </c>
      <c r="O270" s="121">
        <f t="shared" si="235"/>
        <v>0</v>
      </c>
      <c r="P270" s="123">
        <f t="shared" si="236"/>
        <v>0</v>
      </c>
    </row>
    <row r="271" spans="1:16" ht="26.4" x14ac:dyDescent="0.2">
      <c r="A271" s="110">
        <v>17</v>
      </c>
      <c r="B271" s="106"/>
      <c r="C271" s="99" t="s">
        <v>541</v>
      </c>
      <c r="D271" s="106" t="s">
        <v>99</v>
      </c>
      <c r="E271" s="112">
        <f>E269*4</f>
        <v>48.64</v>
      </c>
      <c r="F271" s="120"/>
      <c r="G271" s="121"/>
      <c r="H271" s="122"/>
      <c r="I271" s="121"/>
      <c r="J271" s="121"/>
      <c r="K271" s="179">
        <f t="shared" si="231"/>
        <v>0</v>
      </c>
      <c r="L271" s="184">
        <f t="shared" si="232"/>
        <v>0</v>
      </c>
      <c r="M271" s="121">
        <f t="shared" si="233"/>
        <v>0</v>
      </c>
      <c r="N271" s="121">
        <f t="shared" si="234"/>
        <v>0</v>
      </c>
      <c r="O271" s="121">
        <f t="shared" si="235"/>
        <v>0</v>
      </c>
      <c r="P271" s="123">
        <f t="shared" si="236"/>
        <v>0</v>
      </c>
    </row>
    <row r="272" spans="1:16" ht="39.6" x14ac:dyDescent="0.2">
      <c r="A272" s="163"/>
      <c r="B272" s="164"/>
      <c r="C272" s="165" t="s">
        <v>533</v>
      </c>
      <c r="D272" s="166"/>
      <c r="E272" s="167"/>
      <c r="F272" s="168"/>
      <c r="G272" s="169"/>
      <c r="H272" s="169"/>
      <c r="I272" s="169"/>
      <c r="J272" s="169"/>
      <c r="K272" s="192"/>
      <c r="L272" s="193"/>
      <c r="M272" s="169"/>
      <c r="N272" s="169"/>
      <c r="O272" s="169"/>
      <c r="P272" s="170"/>
    </row>
    <row r="273" spans="1:16" ht="26.4" x14ac:dyDescent="0.2">
      <c r="A273" s="110">
        <v>1</v>
      </c>
      <c r="B273" s="106" t="s">
        <v>60</v>
      </c>
      <c r="C273" s="100" t="s">
        <v>517</v>
      </c>
      <c r="D273" s="106" t="s">
        <v>73</v>
      </c>
      <c r="E273" s="151">
        <v>64.260000000000005</v>
      </c>
      <c r="F273" s="120"/>
      <c r="G273" s="121"/>
      <c r="H273" s="122">
        <f>ROUND(F273*G273,2)</f>
        <v>0</v>
      </c>
      <c r="I273" s="121"/>
      <c r="J273" s="121"/>
      <c r="K273" s="179">
        <f>ROUND(H273+J273+I273,2)</f>
        <v>0</v>
      </c>
      <c r="L273" s="184">
        <f>ROUND(E273*F273,2)</f>
        <v>0</v>
      </c>
      <c r="M273" s="121">
        <f>ROUND(E273*H273,2)</f>
        <v>0</v>
      </c>
      <c r="N273" s="121">
        <f>ROUND(E273*I273,2)</f>
        <v>0</v>
      </c>
      <c r="O273" s="121">
        <f>ROUND(E273*J273,2)</f>
        <v>0</v>
      </c>
      <c r="P273" s="123">
        <f>ROUND(O273+N273+M273,2)</f>
        <v>0</v>
      </c>
    </row>
    <row r="274" spans="1:16" ht="13.2" x14ac:dyDescent="0.2">
      <c r="A274" s="110">
        <v>2</v>
      </c>
      <c r="B274" s="106"/>
      <c r="C274" s="99" t="s">
        <v>373</v>
      </c>
      <c r="D274" s="106" t="s">
        <v>96</v>
      </c>
      <c r="E274" s="112">
        <f>E273*0.12</f>
        <v>7.7112000000000007</v>
      </c>
      <c r="F274" s="120"/>
      <c r="G274" s="121"/>
      <c r="H274" s="122"/>
      <c r="I274" s="121"/>
      <c r="J274" s="121"/>
      <c r="K274" s="179">
        <f t="shared" ref="K274:K275" si="239">ROUND(H274+J274+I274,2)</f>
        <v>0</v>
      </c>
      <c r="L274" s="184">
        <f t="shared" ref="L274:L275" si="240">ROUND(E274*F274,2)</f>
        <v>0</v>
      </c>
      <c r="M274" s="121">
        <f t="shared" ref="M274:M275" si="241">ROUND(E274*H274,2)</f>
        <v>0</v>
      </c>
      <c r="N274" s="121">
        <f t="shared" ref="N274:N275" si="242">ROUND(E274*I274,2)</f>
        <v>0</v>
      </c>
      <c r="O274" s="121">
        <f t="shared" ref="O274:O275" si="243">ROUND(E274*J274,2)</f>
        <v>0</v>
      </c>
      <c r="P274" s="123">
        <f t="shared" ref="P274:P275" si="244">ROUND(O274+N274+M274,2)</f>
        <v>0</v>
      </c>
    </row>
    <row r="275" spans="1:16" ht="26.4" x14ac:dyDescent="0.2">
      <c r="A275" s="110">
        <v>3</v>
      </c>
      <c r="B275" s="106"/>
      <c r="C275" s="99" t="s">
        <v>108</v>
      </c>
      <c r="D275" s="106" t="s">
        <v>109</v>
      </c>
      <c r="E275" s="152">
        <f>E273*5</f>
        <v>321.3</v>
      </c>
      <c r="F275" s="120"/>
      <c r="G275" s="121"/>
      <c r="H275" s="122"/>
      <c r="I275" s="121"/>
      <c r="J275" s="121"/>
      <c r="K275" s="179">
        <f t="shared" si="239"/>
        <v>0</v>
      </c>
      <c r="L275" s="184">
        <f t="shared" si="240"/>
        <v>0</v>
      </c>
      <c r="M275" s="121">
        <f t="shared" si="241"/>
        <v>0</v>
      </c>
      <c r="N275" s="121">
        <f t="shared" si="242"/>
        <v>0</v>
      </c>
      <c r="O275" s="121">
        <f t="shared" si="243"/>
        <v>0</v>
      </c>
      <c r="P275" s="123">
        <f t="shared" si="244"/>
        <v>0</v>
      </c>
    </row>
    <row r="276" spans="1:16" ht="13.2" x14ac:dyDescent="0.2">
      <c r="A276" s="110">
        <v>4</v>
      </c>
      <c r="B276" s="106" t="s">
        <v>60</v>
      </c>
      <c r="C276" s="100" t="s">
        <v>102</v>
      </c>
      <c r="D276" s="106" t="s">
        <v>73</v>
      </c>
      <c r="E276" s="112">
        <f>E273</f>
        <v>64.260000000000005</v>
      </c>
      <c r="F276" s="120"/>
      <c r="G276" s="121"/>
      <c r="H276" s="122">
        <f t="shared" ref="H276" si="245">ROUND(F276*G276,2)</f>
        <v>0</v>
      </c>
      <c r="I276" s="121"/>
      <c r="J276" s="121"/>
      <c r="K276" s="179">
        <f>ROUND(H276+J276+I276,2)</f>
        <v>0</v>
      </c>
      <c r="L276" s="184">
        <f>ROUND(E276*F276,2)</f>
        <v>0</v>
      </c>
      <c r="M276" s="121">
        <f>ROUND(E276*H276,2)</f>
        <v>0</v>
      </c>
      <c r="N276" s="121">
        <f>ROUND(E276*I276,2)</f>
        <v>0</v>
      </c>
      <c r="O276" s="121">
        <f>ROUND(E276*J276,2)</f>
        <v>0</v>
      </c>
      <c r="P276" s="123">
        <f>ROUND(O276+N276+M276,2)</f>
        <v>0</v>
      </c>
    </row>
    <row r="277" spans="1:16" ht="13.2" x14ac:dyDescent="0.2">
      <c r="A277" s="110">
        <v>5</v>
      </c>
      <c r="B277" s="106"/>
      <c r="C277" s="99" t="s">
        <v>373</v>
      </c>
      <c r="D277" s="106" t="s">
        <v>96</v>
      </c>
      <c r="E277" s="112">
        <f>E276*0.12</f>
        <v>7.7112000000000007</v>
      </c>
      <c r="F277" s="120"/>
      <c r="G277" s="121"/>
      <c r="H277" s="122"/>
      <c r="I277" s="121"/>
      <c r="J277" s="121"/>
      <c r="K277" s="179">
        <f t="shared" ref="K277:K290" si="246">ROUND(H277+J277+I277,2)</f>
        <v>0</v>
      </c>
      <c r="L277" s="184">
        <f t="shared" ref="L277:L290" si="247">ROUND(E277*F277,2)</f>
        <v>0</v>
      </c>
      <c r="M277" s="121">
        <f t="shared" ref="M277:M290" si="248">ROUND(E277*H277,2)</f>
        <v>0</v>
      </c>
      <c r="N277" s="121">
        <f t="shared" ref="N277:N290" si="249">ROUND(E277*I277,2)</f>
        <v>0</v>
      </c>
      <c r="O277" s="121">
        <f t="shared" ref="O277:O290" si="250">ROUND(E277*J277,2)</f>
        <v>0</v>
      </c>
      <c r="P277" s="123">
        <f t="shared" ref="P277:P290" si="251">ROUND(O277+N277+M277,2)</f>
        <v>0</v>
      </c>
    </row>
    <row r="278" spans="1:16" ht="13.2" x14ac:dyDescent="0.2">
      <c r="A278" s="110">
        <v>6</v>
      </c>
      <c r="B278" s="106"/>
      <c r="C278" s="99" t="s">
        <v>114</v>
      </c>
      <c r="D278" s="106" t="s">
        <v>99</v>
      </c>
      <c r="E278" s="152">
        <f>E276*5</f>
        <v>321.3</v>
      </c>
      <c r="F278" s="120"/>
      <c r="G278" s="121"/>
      <c r="H278" s="122"/>
      <c r="I278" s="121"/>
      <c r="J278" s="121"/>
      <c r="K278" s="179">
        <f t="shared" si="246"/>
        <v>0</v>
      </c>
      <c r="L278" s="184">
        <f t="shared" si="247"/>
        <v>0</v>
      </c>
      <c r="M278" s="121">
        <f t="shared" si="248"/>
        <v>0</v>
      </c>
      <c r="N278" s="121">
        <f t="shared" si="249"/>
        <v>0</v>
      </c>
      <c r="O278" s="121">
        <f t="shared" si="250"/>
        <v>0</v>
      </c>
      <c r="P278" s="123">
        <f t="shared" si="251"/>
        <v>0</v>
      </c>
    </row>
    <row r="279" spans="1:16" ht="26.4" x14ac:dyDescent="0.2">
      <c r="A279" s="110">
        <v>7</v>
      </c>
      <c r="B279" s="106"/>
      <c r="C279" s="99" t="s">
        <v>408</v>
      </c>
      <c r="D279" s="106" t="s">
        <v>64</v>
      </c>
      <c r="E279" s="152">
        <f>ROUND(E273*8.15,0)</f>
        <v>524</v>
      </c>
      <c r="F279" s="120"/>
      <c r="G279" s="121"/>
      <c r="H279" s="122"/>
      <c r="I279" s="121"/>
      <c r="J279" s="121"/>
      <c r="K279" s="179">
        <f t="shared" si="246"/>
        <v>0</v>
      </c>
      <c r="L279" s="184">
        <f t="shared" si="247"/>
        <v>0</v>
      </c>
      <c r="M279" s="121">
        <f t="shared" si="248"/>
        <v>0</v>
      </c>
      <c r="N279" s="121">
        <f t="shared" si="249"/>
        <v>0</v>
      </c>
      <c r="O279" s="121">
        <f t="shared" si="250"/>
        <v>0</v>
      </c>
      <c r="P279" s="123">
        <f t="shared" si="251"/>
        <v>0</v>
      </c>
    </row>
    <row r="280" spans="1:16" ht="13.2" x14ac:dyDescent="0.2">
      <c r="A280" s="110">
        <v>8</v>
      </c>
      <c r="B280" s="106"/>
      <c r="C280" s="99" t="s">
        <v>110</v>
      </c>
      <c r="D280" s="106" t="s">
        <v>64</v>
      </c>
      <c r="E280" s="112">
        <f>E279</f>
        <v>524</v>
      </c>
      <c r="F280" s="120"/>
      <c r="G280" s="121"/>
      <c r="H280" s="122"/>
      <c r="I280" s="121"/>
      <c r="J280" s="121"/>
      <c r="K280" s="179">
        <f t="shared" si="246"/>
        <v>0</v>
      </c>
      <c r="L280" s="184">
        <f t="shared" si="247"/>
        <v>0</v>
      </c>
      <c r="M280" s="121">
        <f t="shared" si="248"/>
        <v>0</v>
      </c>
      <c r="N280" s="121">
        <f t="shared" si="249"/>
        <v>0</v>
      </c>
      <c r="O280" s="121">
        <f t="shared" si="250"/>
        <v>0</v>
      </c>
      <c r="P280" s="123">
        <f t="shared" si="251"/>
        <v>0</v>
      </c>
    </row>
    <row r="281" spans="1:16" ht="26.4" x14ac:dyDescent="0.2">
      <c r="A281" s="110">
        <v>9</v>
      </c>
      <c r="B281" s="106"/>
      <c r="C281" s="99" t="s">
        <v>311</v>
      </c>
      <c r="D281" s="106" t="s">
        <v>73</v>
      </c>
      <c r="E281" s="112">
        <f>E273*1.05*0.5</f>
        <v>33.736500000000007</v>
      </c>
      <c r="F281" s="120"/>
      <c r="G281" s="121"/>
      <c r="H281" s="122"/>
      <c r="I281" s="121"/>
      <c r="J281" s="121"/>
      <c r="K281" s="179">
        <f t="shared" si="246"/>
        <v>0</v>
      </c>
      <c r="L281" s="184">
        <f t="shared" si="247"/>
        <v>0</v>
      </c>
      <c r="M281" s="121">
        <f t="shared" si="248"/>
        <v>0</v>
      </c>
      <c r="N281" s="121">
        <f t="shared" si="249"/>
        <v>0</v>
      </c>
      <c r="O281" s="121">
        <f t="shared" si="250"/>
        <v>0</v>
      </c>
      <c r="P281" s="123">
        <f t="shared" si="251"/>
        <v>0</v>
      </c>
    </row>
    <row r="282" spans="1:16" ht="26.4" x14ac:dyDescent="0.2">
      <c r="A282" s="110">
        <v>10</v>
      </c>
      <c r="B282" s="106"/>
      <c r="C282" s="99" t="s">
        <v>519</v>
      </c>
      <c r="D282" s="106" t="s">
        <v>73</v>
      </c>
      <c r="E282" s="112">
        <f>E273*1.05*0.5</f>
        <v>33.736500000000007</v>
      </c>
      <c r="F282" s="120"/>
      <c r="G282" s="121"/>
      <c r="H282" s="122"/>
      <c r="I282" s="121"/>
      <c r="J282" s="121"/>
      <c r="K282" s="179">
        <f t="shared" si="246"/>
        <v>0</v>
      </c>
      <c r="L282" s="184">
        <f t="shared" si="247"/>
        <v>0</v>
      </c>
      <c r="M282" s="121">
        <f t="shared" si="248"/>
        <v>0</v>
      </c>
      <c r="N282" s="121">
        <f t="shared" si="249"/>
        <v>0</v>
      </c>
      <c r="O282" s="121">
        <f t="shared" si="250"/>
        <v>0</v>
      </c>
      <c r="P282" s="123">
        <f t="shared" si="251"/>
        <v>0</v>
      </c>
    </row>
    <row r="283" spans="1:16" ht="13.2" x14ac:dyDescent="0.2">
      <c r="A283" s="110">
        <v>11</v>
      </c>
      <c r="B283" s="106" t="s">
        <v>60</v>
      </c>
      <c r="C283" s="100" t="s">
        <v>112</v>
      </c>
      <c r="D283" s="106" t="s">
        <v>73</v>
      </c>
      <c r="E283" s="112">
        <f>E276</f>
        <v>64.260000000000005</v>
      </c>
      <c r="F283" s="120"/>
      <c r="G283" s="121"/>
      <c r="H283" s="122">
        <f t="shared" ref="H283" si="252">ROUND(F283*G283,2)</f>
        <v>0</v>
      </c>
      <c r="I283" s="121"/>
      <c r="J283" s="121"/>
      <c r="K283" s="179">
        <f t="shared" si="246"/>
        <v>0</v>
      </c>
      <c r="L283" s="184">
        <f t="shared" si="247"/>
        <v>0</v>
      </c>
      <c r="M283" s="121">
        <f t="shared" si="248"/>
        <v>0</v>
      </c>
      <c r="N283" s="121">
        <f t="shared" si="249"/>
        <v>0</v>
      </c>
      <c r="O283" s="121">
        <f t="shared" si="250"/>
        <v>0</v>
      </c>
      <c r="P283" s="123">
        <f t="shared" si="251"/>
        <v>0</v>
      </c>
    </row>
    <row r="284" spans="1:16" ht="13.2" x14ac:dyDescent="0.2">
      <c r="A284" s="110">
        <v>12</v>
      </c>
      <c r="B284" s="106"/>
      <c r="C284" s="99" t="s">
        <v>113</v>
      </c>
      <c r="D284" s="106" t="s">
        <v>96</v>
      </c>
      <c r="E284" s="112">
        <f>E283*0.12</f>
        <v>7.7112000000000007</v>
      </c>
      <c r="F284" s="120"/>
      <c r="G284" s="121"/>
      <c r="H284" s="122"/>
      <c r="I284" s="121"/>
      <c r="J284" s="121"/>
      <c r="K284" s="179">
        <f t="shared" si="246"/>
        <v>0</v>
      </c>
      <c r="L284" s="184">
        <f t="shared" si="247"/>
        <v>0</v>
      </c>
      <c r="M284" s="121">
        <f t="shared" si="248"/>
        <v>0</v>
      </c>
      <c r="N284" s="121">
        <f t="shared" si="249"/>
        <v>0</v>
      </c>
      <c r="O284" s="121">
        <f t="shared" si="250"/>
        <v>0</v>
      </c>
      <c r="P284" s="123">
        <f t="shared" si="251"/>
        <v>0</v>
      </c>
    </row>
    <row r="285" spans="1:16" ht="13.2" x14ac:dyDescent="0.2">
      <c r="A285" s="110">
        <v>13</v>
      </c>
      <c r="B285" s="106"/>
      <c r="C285" s="99" t="s">
        <v>290</v>
      </c>
      <c r="D285" s="106" t="s">
        <v>99</v>
      </c>
      <c r="E285" s="152">
        <f>E283*4.5</f>
        <v>289.17</v>
      </c>
      <c r="F285" s="120"/>
      <c r="G285" s="121"/>
      <c r="H285" s="122"/>
      <c r="I285" s="121"/>
      <c r="J285" s="121"/>
      <c r="K285" s="179">
        <f t="shared" si="246"/>
        <v>0</v>
      </c>
      <c r="L285" s="184">
        <f t="shared" si="247"/>
        <v>0</v>
      </c>
      <c r="M285" s="121">
        <f t="shared" si="248"/>
        <v>0</v>
      </c>
      <c r="N285" s="121">
        <f t="shared" si="249"/>
        <v>0</v>
      </c>
      <c r="O285" s="121">
        <f t="shared" si="250"/>
        <v>0</v>
      </c>
      <c r="P285" s="123">
        <f t="shared" si="251"/>
        <v>0</v>
      </c>
    </row>
    <row r="286" spans="1:16" ht="13.2" x14ac:dyDescent="0.2">
      <c r="A286" s="110">
        <v>14</v>
      </c>
      <c r="B286" s="106"/>
      <c r="C286" s="99" t="s">
        <v>101</v>
      </c>
      <c r="D286" s="106" t="s">
        <v>73</v>
      </c>
      <c r="E286" s="112">
        <f>E283*1.2</f>
        <v>77.112000000000009</v>
      </c>
      <c r="F286" s="120"/>
      <c r="G286" s="121"/>
      <c r="H286" s="122"/>
      <c r="I286" s="121"/>
      <c r="J286" s="121"/>
      <c r="K286" s="179">
        <f t="shared" si="246"/>
        <v>0</v>
      </c>
      <c r="L286" s="184">
        <f t="shared" si="247"/>
        <v>0</v>
      </c>
      <c r="M286" s="121">
        <f t="shared" si="248"/>
        <v>0</v>
      </c>
      <c r="N286" s="121">
        <f t="shared" si="249"/>
        <v>0</v>
      </c>
      <c r="O286" s="121">
        <f t="shared" si="250"/>
        <v>0</v>
      </c>
      <c r="P286" s="123">
        <f t="shared" si="251"/>
        <v>0</v>
      </c>
    </row>
    <row r="287" spans="1:16" ht="13.2" x14ac:dyDescent="0.2">
      <c r="A287" s="110">
        <v>15</v>
      </c>
      <c r="B287" s="106"/>
      <c r="C287" s="99" t="s">
        <v>518</v>
      </c>
      <c r="D287" s="106" t="s">
        <v>62</v>
      </c>
      <c r="E287" s="112">
        <f>56.1*2*1.1</f>
        <v>123.42000000000002</v>
      </c>
      <c r="F287" s="120"/>
      <c r="G287" s="121"/>
      <c r="H287" s="122"/>
      <c r="I287" s="121"/>
      <c r="J287" s="121"/>
      <c r="K287" s="179">
        <f t="shared" si="246"/>
        <v>0</v>
      </c>
      <c r="L287" s="184">
        <f t="shared" si="247"/>
        <v>0</v>
      </c>
      <c r="M287" s="121">
        <f t="shared" si="248"/>
        <v>0</v>
      </c>
      <c r="N287" s="121">
        <f t="shared" si="249"/>
        <v>0</v>
      </c>
      <c r="O287" s="121">
        <f t="shared" si="250"/>
        <v>0</v>
      </c>
      <c r="P287" s="123">
        <f t="shared" si="251"/>
        <v>0</v>
      </c>
    </row>
    <row r="288" spans="1:16" ht="13.2" x14ac:dyDescent="0.2">
      <c r="A288" s="110">
        <v>16</v>
      </c>
      <c r="B288" s="106" t="s">
        <v>60</v>
      </c>
      <c r="C288" s="100" t="s">
        <v>117</v>
      </c>
      <c r="D288" s="106" t="s">
        <v>73</v>
      </c>
      <c r="E288" s="112">
        <f>E283</f>
        <v>64.260000000000005</v>
      </c>
      <c r="F288" s="120"/>
      <c r="G288" s="121"/>
      <c r="H288" s="122">
        <f t="shared" ref="H288" si="253">ROUND(F288*G288,2)</f>
        <v>0</v>
      </c>
      <c r="I288" s="121"/>
      <c r="J288" s="121"/>
      <c r="K288" s="179">
        <f t="shared" si="246"/>
        <v>0</v>
      </c>
      <c r="L288" s="184">
        <f t="shared" si="247"/>
        <v>0</v>
      </c>
      <c r="M288" s="121">
        <f t="shared" si="248"/>
        <v>0</v>
      </c>
      <c r="N288" s="121">
        <f t="shared" si="249"/>
        <v>0</v>
      </c>
      <c r="O288" s="121">
        <f t="shared" si="250"/>
        <v>0</v>
      </c>
      <c r="P288" s="123">
        <f t="shared" si="251"/>
        <v>0</v>
      </c>
    </row>
    <row r="289" spans="1:16" ht="26.4" x14ac:dyDescent="0.2">
      <c r="A289" s="110">
        <v>17</v>
      </c>
      <c r="B289" s="106"/>
      <c r="C289" s="99" t="s">
        <v>291</v>
      </c>
      <c r="D289" s="106" t="s">
        <v>96</v>
      </c>
      <c r="E289" s="112">
        <f>E288*0.12</f>
        <v>7.7112000000000007</v>
      </c>
      <c r="F289" s="120"/>
      <c r="G289" s="121"/>
      <c r="H289" s="122"/>
      <c r="I289" s="121"/>
      <c r="J289" s="121"/>
      <c r="K289" s="179">
        <f t="shared" si="246"/>
        <v>0</v>
      </c>
      <c r="L289" s="184">
        <f t="shared" si="247"/>
        <v>0</v>
      </c>
      <c r="M289" s="121">
        <f t="shared" si="248"/>
        <v>0</v>
      </c>
      <c r="N289" s="121">
        <f t="shared" si="249"/>
        <v>0</v>
      </c>
      <c r="O289" s="121">
        <f t="shared" si="250"/>
        <v>0</v>
      </c>
      <c r="P289" s="123">
        <f t="shared" si="251"/>
        <v>0</v>
      </c>
    </row>
    <row r="290" spans="1:16" ht="26.4" x14ac:dyDescent="0.2">
      <c r="A290" s="110">
        <v>18</v>
      </c>
      <c r="B290" s="106"/>
      <c r="C290" s="99" t="s">
        <v>541</v>
      </c>
      <c r="D290" s="106" t="s">
        <v>99</v>
      </c>
      <c r="E290" s="112">
        <f>E288*4</f>
        <v>257.04000000000002</v>
      </c>
      <c r="F290" s="120"/>
      <c r="G290" s="121"/>
      <c r="H290" s="122"/>
      <c r="I290" s="121"/>
      <c r="J290" s="121"/>
      <c r="K290" s="179">
        <f t="shared" si="246"/>
        <v>0</v>
      </c>
      <c r="L290" s="184">
        <f t="shared" si="247"/>
        <v>0</v>
      </c>
      <c r="M290" s="121">
        <f t="shared" si="248"/>
        <v>0</v>
      </c>
      <c r="N290" s="121">
        <f t="shared" si="249"/>
        <v>0</v>
      </c>
      <c r="O290" s="121">
        <f t="shared" si="250"/>
        <v>0</v>
      </c>
      <c r="P290" s="123">
        <f t="shared" si="251"/>
        <v>0</v>
      </c>
    </row>
    <row r="291" spans="1:16" ht="39.6" x14ac:dyDescent="0.2">
      <c r="A291" s="163"/>
      <c r="B291" s="164"/>
      <c r="C291" s="165" t="s">
        <v>534</v>
      </c>
      <c r="D291" s="166"/>
      <c r="E291" s="167"/>
      <c r="F291" s="168"/>
      <c r="G291" s="169"/>
      <c r="H291" s="169"/>
      <c r="I291" s="169"/>
      <c r="J291" s="169"/>
      <c r="K291" s="192"/>
      <c r="L291" s="193"/>
      <c r="M291" s="169"/>
      <c r="N291" s="169"/>
      <c r="O291" s="169"/>
      <c r="P291" s="170"/>
    </row>
    <row r="292" spans="1:16" ht="13.2" x14ac:dyDescent="0.2">
      <c r="A292" s="110">
        <v>1</v>
      </c>
      <c r="B292" s="106" t="s">
        <v>60</v>
      </c>
      <c r="C292" s="100" t="s">
        <v>304</v>
      </c>
      <c r="D292" s="106" t="s">
        <v>73</v>
      </c>
      <c r="E292" s="112">
        <v>37.97</v>
      </c>
      <c r="F292" s="120"/>
      <c r="G292" s="121"/>
      <c r="H292" s="122">
        <f t="shared" ref="H292:H293" si="254">ROUND(F292*G292,2)</f>
        <v>0</v>
      </c>
      <c r="I292" s="121"/>
      <c r="J292" s="121"/>
      <c r="K292" s="179">
        <f>ROUND(H292+J292+I292,2)</f>
        <v>0</v>
      </c>
      <c r="L292" s="184">
        <f>ROUND(E292*F292,2)</f>
        <v>0</v>
      </c>
      <c r="M292" s="121">
        <f>ROUND(E292*H292,2)</f>
        <v>0</v>
      </c>
      <c r="N292" s="121">
        <f>ROUND(E292*I292,2)</f>
        <v>0</v>
      </c>
      <c r="O292" s="121">
        <f>ROUND(E292*J292,2)</f>
        <v>0</v>
      </c>
      <c r="P292" s="123">
        <f>ROUND(O292+N292+M292,2)</f>
        <v>0</v>
      </c>
    </row>
    <row r="293" spans="1:16" ht="26.4" x14ac:dyDescent="0.2">
      <c r="A293" s="110">
        <v>2</v>
      </c>
      <c r="B293" s="106" t="s">
        <v>60</v>
      </c>
      <c r="C293" s="100" t="s">
        <v>107</v>
      </c>
      <c r="D293" s="106" t="s">
        <v>73</v>
      </c>
      <c r="E293" s="112">
        <f>E292</f>
        <v>37.97</v>
      </c>
      <c r="F293" s="120"/>
      <c r="G293" s="121"/>
      <c r="H293" s="122">
        <f t="shared" si="254"/>
        <v>0</v>
      </c>
      <c r="I293" s="121"/>
      <c r="J293" s="121"/>
      <c r="K293" s="179">
        <f>ROUND(H293+J293+I293,2)</f>
        <v>0</v>
      </c>
      <c r="L293" s="184">
        <f>ROUND(E293*F293,2)</f>
        <v>0</v>
      </c>
      <c r="M293" s="121">
        <f>ROUND(E293*H293,2)</f>
        <v>0</v>
      </c>
      <c r="N293" s="121">
        <f>ROUND(E293*I293,2)</f>
        <v>0</v>
      </c>
      <c r="O293" s="121">
        <f>ROUND(E293*J293,2)</f>
        <v>0</v>
      </c>
      <c r="P293" s="123">
        <f>ROUND(O293+N293+M293,2)</f>
        <v>0</v>
      </c>
    </row>
    <row r="294" spans="1:16" ht="13.2" x14ac:dyDescent="0.2">
      <c r="A294" s="110">
        <v>3</v>
      </c>
      <c r="B294" s="106"/>
      <c r="C294" s="99" t="s">
        <v>373</v>
      </c>
      <c r="D294" s="106" t="s">
        <v>96</v>
      </c>
      <c r="E294" s="112">
        <f>E293*0.12</f>
        <v>4.5564</v>
      </c>
      <c r="F294" s="120"/>
      <c r="G294" s="121"/>
      <c r="H294" s="122"/>
      <c r="I294" s="121"/>
      <c r="J294" s="121"/>
      <c r="K294" s="179">
        <f t="shared" ref="K294:K302" si="255">ROUND(H294+J294+I294,2)</f>
        <v>0</v>
      </c>
      <c r="L294" s="184">
        <f t="shared" ref="L294:L302" si="256">ROUND(E294*F294,2)</f>
        <v>0</v>
      </c>
      <c r="M294" s="121">
        <f t="shared" ref="M294:M302" si="257">ROUND(E294*H294,2)</f>
        <v>0</v>
      </c>
      <c r="N294" s="121">
        <f t="shared" ref="N294:N302" si="258">ROUND(E294*I294,2)</f>
        <v>0</v>
      </c>
      <c r="O294" s="121">
        <f t="shared" ref="O294:O302" si="259">ROUND(E294*J294,2)</f>
        <v>0</v>
      </c>
      <c r="P294" s="123">
        <f t="shared" ref="P294:P302" si="260">ROUND(O294+N294+M294,2)</f>
        <v>0</v>
      </c>
    </row>
    <row r="295" spans="1:16" ht="26.4" x14ac:dyDescent="0.2">
      <c r="A295" s="110">
        <v>4</v>
      </c>
      <c r="B295" s="106"/>
      <c r="C295" s="99" t="s">
        <v>108</v>
      </c>
      <c r="D295" s="106" t="s">
        <v>109</v>
      </c>
      <c r="E295" s="112">
        <f>E293*5</f>
        <v>189.85</v>
      </c>
      <c r="F295" s="120"/>
      <c r="G295" s="121"/>
      <c r="H295" s="122"/>
      <c r="I295" s="121"/>
      <c r="J295" s="121"/>
      <c r="K295" s="179">
        <f t="shared" si="255"/>
        <v>0</v>
      </c>
      <c r="L295" s="184">
        <f t="shared" si="256"/>
        <v>0</v>
      </c>
      <c r="M295" s="121">
        <f t="shared" si="257"/>
        <v>0</v>
      </c>
      <c r="N295" s="121">
        <f t="shared" si="258"/>
        <v>0</v>
      </c>
      <c r="O295" s="121">
        <f t="shared" si="259"/>
        <v>0</v>
      </c>
      <c r="P295" s="123">
        <f t="shared" si="260"/>
        <v>0</v>
      </c>
    </row>
    <row r="296" spans="1:16" ht="13.2" x14ac:dyDescent="0.2">
      <c r="A296" s="110">
        <v>5</v>
      </c>
      <c r="B296" s="106" t="s">
        <v>60</v>
      </c>
      <c r="C296" s="111" t="s">
        <v>247</v>
      </c>
      <c r="D296" s="106" t="s">
        <v>73</v>
      </c>
      <c r="E296" s="112">
        <f>E292</f>
        <v>37.97</v>
      </c>
      <c r="F296" s="120"/>
      <c r="G296" s="121"/>
      <c r="H296" s="122">
        <f>ROUND(F296*G296,2)</f>
        <v>0</v>
      </c>
      <c r="I296" s="121"/>
      <c r="J296" s="121"/>
      <c r="K296" s="179">
        <f t="shared" si="255"/>
        <v>0</v>
      </c>
      <c r="L296" s="184">
        <f t="shared" si="256"/>
        <v>0</v>
      </c>
      <c r="M296" s="121">
        <f t="shared" si="257"/>
        <v>0</v>
      </c>
      <c r="N296" s="121">
        <f t="shared" si="258"/>
        <v>0</v>
      </c>
      <c r="O296" s="121">
        <f t="shared" si="259"/>
        <v>0</v>
      </c>
      <c r="P296" s="123">
        <f t="shared" si="260"/>
        <v>0</v>
      </c>
    </row>
    <row r="297" spans="1:16" ht="13.2" x14ac:dyDescent="0.2">
      <c r="A297" s="110">
        <v>6</v>
      </c>
      <c r="B297" s="106"/>
      <c r="C297" s="99" t="s">
        <v>292</v>
      </c>
      <c r="D297" s="106" t="s">
        <v>96</v>
      </c>
      <c r="E297" s="112">
        <f>E296*0.17</f>
        <v>6.4549000000000003</v>
      </c>
      <c r="F297" s="120"/>
      <c r="G297" s="121"/>
      <c r="H297" s="122"/>
      <c r="I297" s="121"/>
      <c r="J297" s="121"/>
      <c r="K297" s="179">
        <f t="shared" si="255"/>
        <v>0</v>
      </c>
      <c r="L297" s="184">
        <f t="shared" si="256"/>
        <v>0</v>
      </c>
      <c r="M297" s="121">
        <f t="shared" si="257"/>
        <v>0</v>
      </c>
      <c r="N297" s="121">
        <f t="shared" si="258"/>
        <v>0</v>
      </c>
      <c r="O297" s="121">
        <f t="shared" si="259"/>
        <v>0</v>
      </c>
      <c r="P297" s="123">
        <f t="shared" si="260"/>
        <v>0</v>
      </c>
    </row>
    <row r="298" spans="1:16" ht="13.2" x14ac:dyDescent="0.2">
      <c r="A298" s="110">
        <v>7</v>
      </c>
      <c r="B298" s="106"/>
      <c r="C298" s="99" t="s">
        <v>543</v>
      </c>
      <c r="D298" s="106" t="s">
        <v>99</v>
      </c>
      <c r="E298" s="112">
        <f>E296*1.53*6*1.1</f>
        <v>383.42106000000001</v>
      </c>
      <c r="F298" s="120"/>
      <c r="G298" s="121"/>
      <c r="H298" s="122"/>
      <c r="I298" s="121"/>
      <c r="J298" s="121"/>
      <c r="K298" s="179">
        <f t="shared" si="255"/>
        <v>0</v>
      </c>
      <c r="L298" s="184">
        <f t="shared" si="256"/>
        <v>0</v>
      </c>
      <c r="M298" s="121">
        <f t="shared" si="257"/>
        <v>0</v>
      </c>
      <c r="N298" s="121">
        <f t="shared" si="258"/>
        <v>0</v>
      </c>
      <c r="O298" s="121">
        <f t="shared" si="259"/>
        <v>0</v>
      </c>
      <c r="P298" s="123">
        <f t="shared" si="260"/>
        <v>0</v>
      </c>
    </row>
    <row r="299" spans="1:16" ht="13.2" x14ac:dyDescent="0.2">
      <c r="A299" s="110">
        <v>8</v>
      </c>
      <c r="B299" s="106"/>
      <c r="C299" s="99" t="s">
        <v>101</v>
      </c>
      <c r="D299" s="106" t="s">
        <v>73</v>
      </c>
      <c r="E299" s="154">
        <f>E296*1.2</f>
        <v>45.564</v>
      </c>
      <c r="F299" s="120"/>
      <c r="G299" s="121"/>
      <c r="H299" s="122"/>
      <c r="I299" s="121"/>
      <c r="J299" s="121"/>
      <c r="K299" s="179">
        <f t="shared" si="255"/>
        <v>0</v>
      </c>
      <c r="L299" s="184">
        <f t="shared" si="256"/>
        <v>0</v>
      </c>
      <c r="M299" s="121">
        <f t="shared" si="257"/>
        <v>0</v>
      </c>
      <c r="N299" s="121">
        <f t="shared" si="258"/>
        <v>0</v>
      </c>
      <c r="O299" s="121">
        <f t="shared" si="259"/>
        <v>0</v>
      </c>
      <c r="P299" s="123">
        <f t="shared" si="260"/>
        <v>0</v>
      </c>
    </row>
    <row r="300" spans="1:16" ht="13.2" x14ac:dyDescent="0.2">
      <c r="A300" s="110">
        <v>9</v>
      </c>
      <c r="B300" s="106"/>
      <c r="C300" s="99" t="s">
        <v>462</v>
      </c>
      <c r="D300" s="106" t="s">
        <v>96</v>
      </c>
      <c r="E300" s="154">
        <f>E296*0.17</f>
        <v>6.4549000000000003</v>
      </c>
      <c r="F300" s="120"/>
      <c r="G300" s="121"/>
      <c r="H300" s="122"/>
      <c r="I300" s="121"/>
      <c r="J300" s="121"/>
      <c r="K300" s="179">
        <f t="shared" si="255"/>
        <v>0</v>
      </c>
      <c r="L300" s="184">
        <f t="shared" si="256"/>
        <v>0</v>
      </c>
      <c r="M300" s="121">
        <f t="shared" si="257"/>
        <v>0</v>
      </c>
      <c r="N300" s="121">
        <f t="shared" si="258"/>
        <v>0</v>
      </c>
      <c r="O300" s="121">
        <f t="shared" si="259"/>
        <v>0</v>
      </c>
      <c r="P300" s="123">
        <f t="shared" si="260"/>
        <v>0</v>
      </c>
    </row>
    <row r="301" spans="1:16" ht="26.4" x14ac:dyDescent="0.2">
      <c r="A301" s="110">
        <v>10</v>
      </c>
      <c r="B301" s="106"/>
      <c r="C301" s="99" t="s">
        <v>520</v>
      </c>
      <c r="D301" s="106" t="s">
        <v>99</v>
      </c>
      <c r="E301" s="112">
        <f>E296*3*1.1</f>
        <v>125.301</v>
      </c>
      <c r="F301" s="120"/>
      <c r="G301" s="121"/>
      <c r="H301" s="122"/>
      <c r="I301" s="121"/>
      <c r="J301" s="121"/>
      <c r="K301" s="179">
        <f t="shared" si="255"/>
        <v>0</v>
      </c>
      <c r="L301" s="184">
        <f t="shared" si="256"/>
        <v>0</v>
      </c>
      <c r="M301" s="121">
        <f t="shared" si="257"/>
        <v>0</v>
      </c>
      <c r="N301" s="121">
        <f t="shared" si="258"/>
        <v>0</v>
      </c>
      <c r="O301" s="121">
        <f t="shared" si="259"/>
        <v>0</v>
      </c>
      <c r="P301" s="123">
        <f t="shared" si="260"/>
        <v>0</v>
      </c>
    </row>
    <row r="302" spans="1:16" ht="13.2" x14ac:dyDescent="0.2">
      <c r="A302" s="110">
        <v>11</v>
      </c>
      <c r="B302" s="106"/>
      <c r="C302" s="99" t="s">
        <v>119</v>
      </c>
      <c r="D302" s="106" t="s">
        <v>73</v>
      </c>
      <c r="E302" s="112">
        <f>E296</f>
        <v>37.97</v>
      </c>
      <c r="F302" s="120"/>
      <c r="G302" s="121"/>
      <c r="H302" s="122"/>
      <c r="I302" s="121"/>
      <c r="J302" s="121"/>
      <c r="K302" s="179">
        <f t="shared" si="255"/>
        <v>0</v>
      </c>
      <c r="L302" s="184">
        <f t="shared" si="256"/>
        <v>0</v>
      </c>
      <c r="M302" s="121">
        <f t="shared" si="257"/>
        <v>0</v>
      </c>
      <c r="N302" s="121">
        <f t="shared" si="258"/>
        <v>0</v>
      </c>
      <c r="O302" s="121">
        <f t="shared" si="259"/>
        <v>0</v>
      </c>
      <c r="P302" s="123">
        <f t="shared" si="260"/>
        <v>0</v>
      </c>
    </row>
    <row r="303" spans="1:16" ht="26.4" x14ac:dyDescent="0.2">
      <c r="A303" s="163"/>
      <c r="B303" s="164"/>
      <c r="C303" s="165" t="s">
        <v>535</v>
      </c>
      <c r="D303" s="166"/>
      <c r="E303" s="167"/>
      <c r="F303" s="168"/>
      <c r="G303" s="169"/>
      <c r="H303" s="169"/>
      <c r="I303" s="169"/>
      <c r="J303" s="169"/>
      <c r="K303" s="192"/>
      <c r="L303" s="193"/>
      <c r="M303" s="169"/>
      <c r="N303" s="169"/>
      <c r="O303" s="169"/>
      <c r="P303" s="170"/>
    </row>
    <row r="304" spans="1:16" ht="13.2" x14ac:dyDescent="0.2">
      <c r="A304" s="110">
        <v>1</v>
      </c>
      <c r="B304" s="106" t="s">
        <v>60</v>
      </c>
      <c r="C304" s="100" t="s">
        <v>304</v>
      </c>
      <c r="D304" s="106" t="s">
        <v>73</v>
      </c>
      <c r="E304" s="112">
        <v>57.42</v>
      </c>
      <c r="F304" s="120"/>
      <c r="G304" s="121"/>
      <c r="H304" s="122">
        <f t="shared" ref="H304:H305" si="261">ROUND(F304*G304,2)</f>
        <v>0</v>
      </c>
      <c r="I304" s="121"/>
      <c r="J304" s="121"/>
      <c r="K304" s="179">
        <f>ROUND(H304+J304+I304,2)</f>
        <v>0</v>
      </c>
      <c r="L304" s="184">
        <f>ROUND(E304*F304,2)</f>
        <v>0</v>
      </c>
      <c r="M304" s="121">
        <f>ROUND(E304*H304,2)</f>
        <v>0</v>
      </c>
      <c r="N304" s="121">
        <f>ROUND(E304*I304,2)</f>
        <v>0</v>
      </c>
      <c r="O304" s="121">
        <f>ROUND(E304*J304,2)</f>
        <v>0</v>
      </c>
      <c r="P304" s="123">
        <f>ROUND(O304+N304+M304,2)</f>
        <v>0</v>
      </c>
    </row>
    <row r="305" spans="1:16" ht="26.4" x14ac:dyDescent="0.2">
      <c r="A305" s="110">
        <v>2</v>
      </c>
      <c r="B305" s="106" t="s">
        <v>60</v>
      </c>
      <c r="C305" s="100" t="s">
        <v>220</v>
      </c>
      <c r="D305" s="106" t="s">
        <v>73</v>
      </c>
      <c r="E305" s="112">
        <f>E304</f>
        <v>57.42</v>
      </c>
      <c r="F305" s="120"/>
      <c r="G305" s="121"/>
      <c r="H305" s="122">
        <f t="shared" si="261"/>
        <v>0</v>
      </c>
      <c r="I305" s="121"/>
      <c r="J305" s="121"/>
      <c r="K305" s="179">
        <f>ROUND(H305+J305+I305,2)</f>
        <v>0</v>
      </c>
      <c r="L305" s="184">
        <f>ROUND(E305*F305,2)</f>
        <v>0</v>
      </c>
      <c r="M305" s="121">
        <f>ROUND(E305*H305,2)</f>
        <v>0</v>
      </c>
      <c r="N305" s="121">
        <f>ROUND(E305*I305,2)</f>
        <v>0</v>
      </c>
      <c r="O305" s="121">
        <f>ROUND(E305*J305,2)</f>
        <v>0</v>
      </c>
      <c r="P305" s="123">
        <f>ROUND(O305+N305+M305,2)</f>
        <v>0</v>
      </c>
    </row>
    <row r="306" spans="1:16" ht="13.2" x14ac:dyDescent="0.2">
      <c r="A306" s="110">
        <v>3</v>
      </c>
      <c r="B306" s="106"/>
      <c r="C306" s="99" t="s">
        <v>373</v>
      </c>
      <c r="D306" s="106" t="s">
        <v>96</v>
      </c>
      <c r="E306" s="112">
        <f>E305*0.12</f>
        <v>6.8903999999999996</v>
      </c>
      <c r="F306" s="120"/>
      <c r="G306" s="121"/>
      <c r="H306" s="122"/>
      <c r="I306" s="121"/>
      <c r="J306" s="121"/>
      <c r="K306" s="179">
        <f t="shared" ref="K306:K316" si="262">ROUND(H306+J306+I306,2)</f>
        <v>0</v>
      </c>
      <c r="L306" s="184">
        <f t="shared" ref="L306:L316" si="263">ROUND(E306*F306,2)</f>
        <v>0</v>
      </c>
      <c r="M306" s="121">
        <f t="shared" ref="M306:M316" si="264">ROUND(E306*H306,2)</f>
        <v>0</v>
      </c>
      <c r="N306" s="121">
        <f t="shared" ref="N306:N316" si="265">ROUND(E306*I306,2)</f>
        <v>0</v>
      </c>
      <c r="O306" s="121">
        <f t="shared" ref="O306:O316" si="266">ROUND(E306*J306,2)</f>
        <v>0</v>
      </c>
      <c r="P306" s="123">
        <f t="shared" ref="P306:P316" si="267">ROUND(O306+N306+M306,2)</f>
        <v>0</v>
      </c>
    </row>
    <row r="307" spans="1:16" ht="26.4" x14ac:dyDescent="0.2">
      <c r="A307" s="110">
        <v>4</v>
      </c>
      <c r="B307" s="106"/>
      <c r="C307" s="99" t="s">
        <v>108</v>
      </c>
      <c r="D307" s="106" t="s">
        <v>109</v>
      </c>
      <c r="E307" s="112">
        <f>E305*5</f>
        <v>287.10000000000002</v>
      </c>
      <c r="F307" s="120"/>
      <c r="G307" s="121"/>
      <c r="H307" s="122"/>
      <c r="I307" s="121"/>
      <c r="J307" s="121"/>
      <c r="K307" s="179">
        <f t="shared" si="262"/>
        <v>0</v>
      </c>
      <c r="L307" s="184">
        <f t="shared" si="263"/>
        <v>0</v>
      </c>
      <c r="M307" s="121">
        <f t="shared" si="264"/>
        <v>0</v>
      </c>
      <c r="N307" s="121">
        <f t="shared" si="265"/>
        <v>0</v>
      </c>
      <c r="O307" s="121">
        <f t="shared" si="266"/>
        <v>0</v>
      </c>
      <c r="P307" s="123">
        <f t="shared" si="267"/>
        <v>0</v>
      </c>
    </row>
    <row r="308" spans="1:16" ht="13.2" x14ac:dyDescent="0.2">
      <c r="A308" s="110">
        <v>5</v>
      </c>
      <c r="B308" s="106" t="s">
        <v>60</v>
      </c>
      <c r="C308" s="111" t="s">
        <v>521</v>
      </c>
      <c r="D308" s="106" t="s">
        <v>73</v>
      </c>
      <c r="E308" s="112">
        <f>E304</f>
        <v>57.42</v>
      </c>
      <c r="F308" s="120"/>
      <c r="G308" s="121"/>
      <c r="H308" s="122">
        <f>ROUND(F308*G308,2)</f>
        <v>0</v>
      </c>
      <c r="I308" s="121"/>
      <c r="J308" s="121"/>
      <c r="K308" s="179">
        <f t="shared" si="262"/>
        <v>0</v>
      </c>
      <c r="L308" s="184">
        <f t="shared" si="263"/>
        <v>0</v>
      </c>
      <c r="M308" s="121">
        <f t="shared" si="264"/>
        <v>0</v>
      </c>
      <c r="N308" s="121">
        <f t="shared" si="265"/>
        <v>0</v>
      </c>
      <c r="O308" s="121">
        <f t="shared" si="266"/>
        <v>0</v>
      </c>
      <c r="P308" s="123">
        <f t="shared" si="267"/>
        <v>0</v>
      </c>
    </row>
    <row r="309" spans="1:16" ht="13.2" x14ac:dyDescent="0.2">
      <c r="A309" s="110">
        <v>6</v>
      </c>
      <c r="B309" s="106"/>
      <c r="C309" s="99" t="s">
        <v>292</v>
      </c>
      <c r="D309" s="106" t="s">
        <v>96</v>
      </c>
      <c r="E309" s="112">
        <f>E308*0.17</f>
        <v>9.7614000000000019</v>
      </c>
      <c r="F309" s="120"/>
      <c r="G309" s="121"/>
      <c r="H309" s="122"/>
      <c r="I309" s="121"/>
      <c r="J309" s="121"/>
      <c r="K309" s="179">
        <f t="shared" si="262"/>
        <v>0</v>
      </c>
      <c r="L309" s="184">
        <f t="shared" si="263"/>
        <v>0</v>
      </c>
      <c r="M309" s="121">
        <f t="shared" si="264"/>
        <v>0</v>
      </c>
      <c r="N309" s="121">
        <f t="shared" si="265"/>
        <v>0</v>
      </c>
      <c r="O309" s="121">
        <f t="shared" si="266"/>
        <v>0</v>
      </c>
      <c r="P309" s="123">
        <f t="shared" si="267"/>
        <v>0</v>
      </c>
    </row>
    <row r="310" spans="1:16" ht="13.2" x14ac:dyDescent="0.2">
      <c r="A310" s="110">
        <v>7</v>
      </c>
      <c r="B310" s="106"/>
      <c r="C310" s="99" t="s">
        <v>543</v>
      </c>
      <c r="D310" s="106" t="s">
        <v>99</v>
      </c>
      <c r="E310" s="112">
        <f>E308*1.53*6*1.1</f>
        <v>579.82716000000016</v>
      </c>
      <c r="F310" s="120"/>
      <c r="G310" s="121"/>
      <c r="H310" s="122"/>
      <c r="I310" s="121"/>
      <c r="J310" s="121"/>
      <c r="K310" s="179">
        <f t="shared" si="262"/>
        <v>0</v>
      </c>
      <c r="L310" s="184">
        <f t="shared" si="263"/>
        <v>0</v>
      </c>
      <c r="M310" s="121">
        <f t="shared" si="264"/>
        <v>0</v>
      </c>
      <c r="N310" s="121">
        <f t="shared" si="265"/>
        <v>0</v>
      </c>
      <c r="O310" s="121">
        <f t="shared" si="266"/>
        <v>0</v>
      </c>
      <c r="P310" s="123">
        <f t="shared" si="267"/>
        <v>0</v>
      </c>
    </row>
    <row r="311" spans="1:16" ht="13.2" x14ac:dyDescent="0.2">
      <c r="A311" s="110">
        <v>8</v>
      </c>
      <c r="B311" s="106"/>
      <c r="C311" s="99" t="s">
        <v>101</v>
      </c>
      <c r="D311" s="106" t="s">
        <v>73</v>
      </c>
      <c r="E311" s="154">
        <f>E308*1.2</f>
        <v>68.903999999999996</v>
      </c>
      <c r="F311" s="120"/>
      <c r="G311" s="121"/>
      <c r="H311" s="122"/>
      <c r="I311" s="121"/>
      <c r="J311" s="121"/>
      <c r="K311" s="179">
        <f t="shared" si="262"/>
        <v>0</v>
      </c>
      <c r="L311" s="184">
        <f t="shared" si="263"/>
        <v>0</v>
      </c>
      <c r="M311" s="121">
        <f t="shared" si="264"/>
        <v>0</v>
      </c>
      <c r="N311" s="121">
        <f t="shared" si="265"/>
        <v>0</v>
      </c>
      <c r="O311" s="121">
        <f t="shared" si="266"/>
        <v>0</v>
      </c>
      <c r="P311" s="123">
        <f t="shared" si="267"/>
        <v>0</v>
      </c>
    </row>
    <row r="312" spans="1:16" ht="13.2" x14ac:dyDescent="0.2">
      <c r="A312" s="110">
        <v>15</v>
      </c>
      <c r="B312" s="106"/>
      <c r="C312" s="99" t="s">
        <v>380</v>
      </c>
      <c r="D312" s="106" t="s">
        <v>62</v>
      </c>
      <c r="E312" s="112">
        <f>143*1.1</f>
        <v>157.30000000000001</v>
      </c>
      <c r="F312" s="120"/>
      <c r="G312" s="121"/>
      <c r="H312" s="122"/>
      <c r="I312" s="121"/>
      <c r="J312" s="121"/>
      <c r="K312" s="179">
        <f t="shared" si="262"/>
        <v>0</v>
      </c>
      <c r="L312" s="184">
        <f t="shared" si="263"/>
        <v>0</v>
      </c>
      <c r="M312" s="121">
        <f t="shared" si="264"/>
        <v>0</v>
      </c>
      <c r="N312" s="121">
        <f t="shared" si="265"/>
        <v>0</v>
      </c>
      <c r="O312" s="121">
        <f t="shared" si="266"/>
        <v>0</v>
      </c>
      <c r="P312" s="123">
        <f t="shared" si="267"/>
        <v>0</v>
      </c>
    </row>
    <row r="313" spans="1:16" ht="13.2" x14ac:dyDescent="0.2">
      <c r="A313" s="110">
        <v>16</v>
      </c>
      <c r="B313" s="106"/>
      <c r="C313" s="99" t="s">
        <v>313</v>
      </c>
      <c r="D313" s="106" t="s">
        <v>62</v>
      </c>
      <c r="E313" s="112">
        <f>123.2*1.1</f>
        <v>135.52000000000001</v>
      </c>
      <c r="F313" s="120"/>
      <c r="G313" s="121"/>
      <c r="H313" s="122"/>
      <c r="I313" s="121"/>
      <c r="J313" s="121"/>
      <c r="K313" s="179">
        <f t="shared" si="262"/>
        <v>0</v>
      </c>
      <c r="L313" s="184">
        <f t="shared" si="263"/>
        <v>0</v>
      </c>
      <c r="M313" s="121">
        <f t="shared" si="264"/>
        <v>0</v>
      </c>
      <c r="N313" s="121">
        <f t="shared" si="265"/>
        <v>0</v>
      </c>
      <c r="O313" s="121">
        <f t="shared" si="266"/>
        <v>0</v>
      </c>
      <c r="P313" s="123">
        <f t="shared" si="267"/>
        <v>0</v>
      </c>
    </row>
    <row r="314" spans="1:16" ht="26.4" x14ac:dyDescent="0.2">
      <c r="A314" s="110">
        <v>9</v>
      </c>
      <c r="B314" s="106"/>
      <c r="C314" s="99" t="s">
        <v>294</v>
      </c>
      <c r="D314" s="106" t="s">
        <v>96</v>
      </c>
      <c r="E314" s="154">
        <f>E308*0.17</f>
        <v>9.7614000000000019</v>
      </c>
      <c r="F314" s="120"/>
      <c r="G314" s="121"/>
      <c r="H314" s="122"/>
      <c r="I314" s="121"/>
      <c r="J314" s="121"/>
      <c r="K314" s="179">
        <f t="shared" si="262"/>
        <v>0</v>
      </c>
      <c r="L314" s="184">
        <f t="shared" si="263"/>
        <v>0</v>
      </c>
      <c r="M314" s="121">
        <f t="shared" si="264"/>
        <v>0</v>
      </c>
      <c r="N314" s="121">
        <f t="shared" si="265"/>
        <v>0</v>
      </c>
      <c r="O314" s="121">
        <f t="shared" si="266"/>
        <v>0</v>
      </c>
      <c r="P314" s="123">
        <f t="shared" si="267"/>
        <v>0</v>
      </c>
    </row>
    <row r="315" spans="1:16" ht="26.4" x14ac:dyDescent="0.2">
      <c r="A315" s="110">
        <v>10</v>
      </c>
      <c r="B315" s="106"/>
      <c r="C315" s="99" t="s">
        <v>520</v>
      </c>
      <c r="D315" s="106" t="s">
        <v>99</v>
      </c>
      <c r="E315" s="112">
        <f>E308*3*1.1</f>
        <v>189.48600000000002</v>
      </c>
      <c r="F315" s="120"/>
      <c r="G315" s="121"/>
      <c r="H315" s="122"/>
      <c r="I315" s="121"/>
      <c r="J315" s="121"/>
      <c r="K315" s="179">
        <f t="shared" si="262"/>
        <v>0</v>
      </c>
      <c r="L315" s="184">
        <f t="shared" si="263"/>
        <v>0</v>
      </c>
      <c r="M315" s="121">
        <f t="shared" si="264"/>
        <v>0</v>
      </c>
      <c r="N315" s="121">
        <f t="shared" si="265"/>
        <v>0</v>
      </c>
      <c r="O315" s="121">
        <f t="shared" si="266"/>
        <v>0</v>
      </c>
      <c r="P315" s="123">
        <f t="shared" si="267"/>
        <v>0</v>
      </c>
    </row>
    <row r="316" spans="1:16" ht="13.2" x14ac:dyDescent="0.2">
      <c r="A316" s="110">
        <v>11</v>
      </c>
      <c r="B316" s="106"/>
      <c r="C316" s="99" t="s">
        <v>119</v>
      </c>
      <c r="D316" s="106" t="s">
        <v>73</v>
      </c>
      <c r="E316" s="112">
        <f>E308</f>
        <v>57.42</v>
      </c>
      <c r="F316" s="120"/>
      <c r="G316" s="121"/>
      <c r="H316" s="122"/>
      <c r="I316" s="121"/>
      <c r="J316" s="121"/>
      <c r="K316" s="179">
        <f t="shared" si="262"/>
        <v>0</v>
      </c>
      <c r="L316" s="184">
        <f t="shared" si="263"/>
        <v>0</v>
      </c>
      <c r="M316" s="121">
        <f t="shared" si="264"/>
        <v>0</v>
      </c>
      <c r="N316" s="121">
        <f t="shared" si="265"/>
        <v>0</v>
      </c>
      <c r="O316" s="121">
        <f t="shared" si="266"/>
        <v>0</v>
      </c>
      <c r="P316" s="123">
        <f t="shared" si="267"/>
        <v>0</v>
      </c>
    </row>
    <row r="317" spans="1:16" ht="13.2" x14ac:dyDescent="0.2">
      <c r="A317" s="163"/>
      <c r="B317" s="164"/>
      <c r="C317" s="165" t="s">
        <v>536</v>
      </c>
      <c r="D317" s="166"/>
      <c r="E317" s="167"/>
      <c r="F317" s="168"/>
      <c r="G317" s="169"/>
      <c r="H317" s="169"/>
      <c r="I317" s="169"/>
      <c r="J317" s="169"/>
      <c r="K317" s="192"/>
      <c r="L317" s="193"/>
      <c r="M317" s="169"/>
      <c r="N317" s="169"/>
      <c r="O317" s="169"/>
      <c r="P317" s="170"/>
    </row>
    <row r="318" spans="1:16" ht="13.2" x14ac:dyDescent="0.2">
      <c r="A318" s="110">
        <v>1</v>
      </c>
      <c r="B318" s="106" t="s">
        <v>60</v>
      </c>
      <c r="C318" s="100" t="s">
        <v>544</v>
      </c>
      <c r="D318" s="106" t="s">
        <v>68</v>
      </c>
      <c r="E318" s="112">
        <v>12</v>
      </c>
      <c r="F318" s="120"/>
      <c r="G318" s="121"/>
      <c r="H318" s="122">
        <f t="shared" ref="H318:H319" si="268">ROUND(F318*G318,2)</f>
        <v>0</v>
      </c>
      <c r="I318" s="121"/>
      <c r="J318" s="121"/>
      <c r="K318" s="179">
        <f t="shared" ref="K318:K319" si="269">ROUND(H318+J318+I318,2)</f>
        <v>0</v>
      </c>
      <c r="L318" s="184">
        <f t="shared" ref="L318:L319" si="270">ROUND(E318*F318,2)</f>
        <v>0</v>
      </c>
      <c r="M318" s="121">
        <f t="shared" ref="M318:M319" si="271">ROUND(E318*H318,2)</f>
        <v>0</v>
      </c>
      <c r="N318" s="121">
        <f t="shared" ref="N318:N319" si="272">ROUND(E318*I318,2)</f>
        <v>0</v>
      </c>
      <c r="O318" s="121">
        <f t="shared" ref="O318:O319" si="273">ROUND(E318*J318,2)</f>
        <v>0</v>
      </c>
      <c r="P318" s="123">
        <f t="shared" ref="P318:P319" si="274">ROUND(O318+N318+M318,2)</f>
        <v>0</v>
      </c>
    </row>
    <row r="319" spans="1:16" ht="13.8" thickBot="1" x14ac:dyDescent="0.25">
      <c r="A319" s="110">
        <v>2</v>
      </c>
      <c r="B319" s="106" t="s">
        <v>60</v>
      </c>
      <c r="C319" s="100" t="s">
        <v>522</v>
      </c>
      <c r="D319" s="106" t="s">
        <v>68</v>
      </c>
      <c r="E319" s="112">
        <v>1</v>
      </c>
      <c r="F319" s="120"/>
      <c r="G319" s="121"/>
      <c r="H319" s="122">
        <f t="shared" si="268"/>
        <v>0</v>
      </c>
      <c r="I319" s="121"/>
      <c r="J319" s="121"/>
      <c r="K319" s="179">
        <f t="shared" si="269"/>
        <v>0</v>
      </c>
      <c r="L319" s="184">
        <f t="shared" si="270"/>
        <v>0</v>
      </c>
      <c r="M319" s="121">
        <f t="shared" si="271"/>
        <v>0</v>
      </c>
      <c r="N319" s="121">
        <f t="shared" si="272"/>
        <v>0</v>
      </c>
      <c r="O319" s="121">
        <f t="shared" si="273"/>
        <v>0</v>
      </c>
      <c r="P319" s="123">
        <f t="shared" si="274"/>
        <v>0</v>
      </c>
    </row>
    <row r="320" spans="1:16" ht="10.8" thickBot="1" x14ac:dyDescent="0.25">
      <c r="A320" s="285" t="s">
        <v>700</v>
      </c>
      <c r="B320" s="286"/>
      <c r="C320" s="286"/>
      <c r="D320" s="286"/>
      <c r="E320" s="286"/>
      <c r="F320" s="286"/>
      <c r="G320" s="286"/>
      <c r="H320" s="286"/>
      <c r="I320" s="286"/>
      <c r="J320" s="286"/>
      <c r="K320" s="287"/>
      <c r="L320" s="69">
        <f>SUM(L14:L319)</f>
        <v>0</v>
      </c>
      <c r="M320" s="70">
        <f>SUM(M14:M319)</f>
        <v>0</v>
      </c>
      <c r="N320" s="70">
        <f>SUM(N14:N319)</f>
        <v>0</v>
      </c>
      <c r="O320" s="70">
        <f>SUM(O14:O319)</f>
        <v>0</v>
      </c>
      <c r="P320" s="71">
        <f>SUM(P14:P319)</f>
        <v>0</v>
      </c>
    </row>
    <row r="321" spans="1:16" x14ac:dyDescent="0.2">
      <c r="A321" s="17"/>
      <c r="B321" s="171"/>
      <c r="C321" s="171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</row>
    <row r="322" spans="1:16" x14ac:dyDescent="0.2">
      <c r="A322" s="17"/>
      <c r="B322" s="171"/>
      <c r="C322" s="171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</row>
    <row r="323" spans="1:16" x14ac:dyDescent="0.2">
      <c r="A323" s="1" t="s">
        <v>14</v>
      </c>
      <c r="B323" s="171"/>
      <c r="C323" s="284">
        <f>'Kops a'!C37:H37</f>
        <v>0</v>
      </c>
      <c r="D323" s="284"/>
      <c r="E323" s="284"/>
      <c r="F323" s="284"/>
      <c r="G323" s="284"/>
      <c r="H323" s="284"/>
      <c r="I323" s="17"/>
      <c r="J323" s="17"/>
      <c r="K323" s="17"/>
      <c r="L323" s="17"/>
      <c r="M323" s="17"/>
      <c r="N323" s="17"/>
      <c r="O323" s="17"/>
      <c r="P323" s="17"/>
    </row>
    <row r="324" spans="1:16" x14ac:dyDescent="0.2">
      <c r="A324" s="17"/>
      <c r="B324" s="171"/>
      <c r="C324" s="219" t="s">
        <v>15</v>
      </c>
      <c r="D324" s="219"/>
      <c r="E324" s="219"/>
      <c r="F324" s="219"/>
      <c r="G324" s="219"/>
      <c r="H324" s="219"/>
      <c r="I324" s="17"/>
      <c r="J324" s="17"/>
      <c r="K324" s="17"/>
      <c r="L324" s="17"/>
      <c r="M324" s="17"/>
      <c r="N324" s="17"/>
      <c r="O324" s="17"/>
      <c r="P324" s="17"/>
    </row>
    <row r="325" spans="1:16" x14ac:dyDescent="0.2">
      <c r="A325" s="17"/>
      <c r="B325" s="171"/>
      <c r="C325" s="171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</row>
    <row r="326" spans="1:16" x14ac:dyDescent="0.2">
      <c r="A326" s="88" t="str">
        <f>'Kops a'!A40</f>
        <v xml:space="preserve">Tāme sastādīta </v>
      </c>
      <c r="B326" s="217"/>
      <c r="C326" s="217"/>
      <c r="D326" s="89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</row>
    <row r="327" spans="1:16" x14ac:dyDescent="0.2">
      <c r="A327" s="17"/>
      <c r="B327" s="171"/>
      <c r="C327" s="171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</row>
    <row r="328" spans="1:16" x14ac:dyDescent="0.2">
      <c r="A328" s="1" t="s">
        <v>37</v>
      </c>
      <c r="B328" s="171"/>
      <c r="C328" s="284">
        <f>'Kops a'!C42:H42</f>
        <v>0</v>
      </c>
      <c r="D328" s="284"/>
      <c r="E328" s="284"/>
      <c r="F328" s="284"/>
      <c r="G328" s="284"/>
      <c r="H328" s="284"/>
      <c r="I328" s="17"/>
      <c r="J328" s="17"/>
      <c r="K328" s="17"/>
      <c r="L328" s="17"/>
      <c r="M328" s="17"/>
      <c r="N328" s="17"/>
      <c r="O328" s="17"/>
      <c r="P328" s="17"/>
    </row>
    <row r="329" spans="1:16" x14ac:dyDescent="0.2">
      <c r="A329" s="17"/>
      <c r="B329" s="171"/>
      <c r="C329" s="219" t="s">
        <v>15</v>
      </c>
      <c r="D329" s="219"/>
      <c r="E329" s="219"/>
      <c r="F329" s="219"/>
      <c r="G329" s="219"/>
      <c r="H329" s="219"/>
      <c r="I329" s="17"/>
      <c r="J329" s="17"/>
      <c r="K329" s="17"/>
      <c r="L329" s="17"/>
      <c r="M329" s="17"/>
      <c r="N329" s="17"/>
      <c r="O329" s="17"/>
      <c r="P329" s="17"/>
    </row>
    <row r="330" spans="1:16" x14ac:dyDescent="0.2">
      <c r="A330" s="17"/>
      <c r="B330" s="171"/>
      <c r="C330" s="171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</row>
    <row r="331" spans="1:16" x14ac:dyDescent="0.2">
      <c r="A331" s="88" t="s">
        <v>54</v>
      </c>
      <c r="B331" s="217"/>
      <c r="C331" s="218">
        <f>'Kops a'!C45</f>
        <v>0</v>
      </c>
      <c r="D331" s="50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</row>
    <row r="332" spans="1:16" x14ac:dyDescent="0.2">
      <c r="A332" s="17"/>
      <c r="B332" s="171"/>
      <c r="C332" s="171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</row>
  </sheetData>
  <mergeCells count="22">
    <mergeCell ref="C329:H329"/>
    <mergeCell ref="C4:I4"/>
    <mergeCell ref="F12:K12"/>
    <mergeCell ref="J9:M9"/>
    <mergeCell ref="D8:L8"/>
    <mergeCell ref="A320:K320"/>
    <mergeCell ref="C323:H323"/>
    <mergeCell ref="C324:H324"/>
    <mergeCell ref="C328:H328"/>
    <mergeCell ref="A9:F9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I147:J159 A147:G159 A225:G225 I225:J225 I229:J239 A229:G239 A240:E240 I241:J319 A241:G319 A19:G22 I19:J27 I36:J58 C36:C40 D36:G58 A36:B58 B23:G27 A23:A35 A67:B71 D67:G71 I67:J71 A168:G183 I168:J183 I192:J207 A192:G207 A216:G223 I216:J223">
    <cfRule type="cellIs" dxfId="202" priority="101" operator="equal">
      <formula>0</formula>
    </cfRule>
  </conditionalFormatting>
  <conditionalFormatting sqref="N9:O9 H147:H159 K147:P159 K225:P225 H225 H229:H239 K229:P239 K241:P319 H241:H319 K19:P27 H19:H27 H36:H58 K36:P58 K67:P71 H67:H71 K168:P183 H168:H183 H192:H207 K192:P207 K216:P223 H216:H223">
    <cfRule type="cellIs" dxfId="201" priority="100" operator="equal">
      <formula>0</formula>
    </cfRule>
  </conditionalFormatting>
  <conditionalFormatting sqref="A9:F9">
    <cfRule type="containsText" dxfId="200" priority="98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99" priority="97" operator="equal">
      <formula>0</formula>
    </cfRule>
  </conditionalFormatting>
  <conditionalFormatting sqref="O10">
    <cfRule type="cellIs" dxfId="198" priority="96" operator="equal">
      <formula>"20__. gada __. _________"</formula>
    </cfRule>
  </conditionalFormatting>
  <conditionalFormatting sqref="A320:K320">
    <cfRule type="containsText" dxfId="197" priority="95" operator="containsText" text="Tiešās izmaksas kopā, t. sk. darba devēja sociālais nodoklis __.__% ">
      <formula>NOT(ISERROR(SEARCH("Tiešās izmaksas kopā, t. sk. darba devēja sociālais nodoklis __.__% ",A320)))</formula>
    </cfRule>
  </conditionalFormatting>
  <conditionalFormatting sqref="H14:H17 K14:P17 L320:P320 K75:P89 H75:H89 H106:H112 K106:P112 K116:P130 H116:H130 H98:H102 K98:P102 H139:H143 K139:P143">
    <cfRule type="cellIs" dxfId="196" priority="90" operator="equal">
      <formula>0</formula>
    </cfRule>
  </conditionalFormatting>
  <conditionalFormatting sqref="C4:I4">
    <cfRule type="cellIs" dxfId="195" priority="89" operator="equal">
      <formula>0</formula>
    </cfRule>
  </conditionalFormatting>
  <conditionalFormatting sqref="D5:L8">
    <cfRule type="cellIs" dxfId="194" priority="85" operator="equal">
      <formula>0</formula>
    </cfRule>
  </conditionalFormatting>
  <conditionalFormatting sqref="D14:G17 A14:B17 A76:B89 D75:G89 B75 A72:A75 D106:G112 A107:B110 B106 A103:A106 A117:B130 D116:G130 B116 B111:B112 A111:A116 D98:G102 A98:B102 D139:G143 A139:B143">
    <cfRule type="cellIs" dxfId="193" priority="84" operator="equal">
      <formula>0</formula>
    </cfRule>
  </conditionalFormatting>
  <conditionalFormatting sqref="C14:C17 C75:C89 C106:C112 C42:C58 C116:C130 C67:C71 C98:C102 C139:C143">
    <cfRule type="cellIs" dxfId="192" priority="83" operator="equal">
      <formula>0</formula>
    </cfRule>
  </conditionalFormatting>
  <conditionalFormatting sqref="I14:J17 I75:J89 I106:J112 I116:J130 I98:J102 I139:J143">
    <cfRule type="cellIs" dxfId="191" priority="82" operator="equal">
      <formula>0</formula>
    </cfRule>
  </conditionalFormatting>
  <conditionalFormatting sqref="P10">
    <cfRule type="cellIs" dxfId="190" priority="81" operator="equal">
      <formula>"20__. gada __. _________"</formula>
    </cfRule>
  </conditionalFormatting>
  <conditionalFormatting sqref="C328:H328">
    <cfRule type="cellIs" dxfId="189" priority="78" operator="equal">
      <formula>0</formula>
    </cfRule>
  </conditionalFormatting>
  <conditionalFormatting sqref="C323:H323">
    <cfRule type="cellIs" dxfId="188" priority="77" operator="equal">
      <formula>0</formula>
    </cfRule>
  </conditionalFormatting>
  <conditionalFormatting sqref="C328:H328 C331 C323:H323">
    <cfRule type="cellIs" dxfId="187" priority="76" operator="equal">
      <formula>0</formula>
    </cfRule>
  </conditionalFormatting>
  <conditionalFormatting sqref="D1">
    <cfRule type="cellIs" dxfId="186" priority="75" operator="equal">
      <formula>0</formula>
    </cfRule>
  </conditionalFormatting>
  <conditionalFormatting sqref="H72:H74 K72:P74">
    <cfRule type="cellIs" dxfId="185" priority="74" operator="equal">
      <formula>0</formula>
    </cfRule>
  </conditionalFormatting>
  <conditionalFormatting sqref="D72:G74 B72:B74">
    <cfRule type="cellIs" dxfId="184" priority="73" operator="equal">
      <formula>0</formula>
    </cfRule>
  </conditionalFormatting>
  <conditionalFormatting sqref="C73">
    <cfRule type="cellIs" dxfId="183" priority="72" operator="equal">
      <formula>0</formula>
    </cfRule>
  </conditionalFormatting>
  <conditionalFormatting sqref="I72:J74">
    <cfRule type="cellIs" dxfId="182" priority="71" operator="equal">
      <formula>0</formula>
    </cfRule>
  </conditionalFormatting>
  <conditionalFormatting sqref="H103:H105 K103:P105">
    <cfRule type="cellIs" dxfId="181" priority="70" operator="equal">
      <formula>0</formula>
    </cfRule>
  </conditionalFormatting>
  <conditionalFormatting sqref="D103:G105 B103:B105">
    <cfRule type="cellIs" dxfId="180" priority="69" operator="equal">
      <formula>0</formula>
    </cfRule>
  </conditionalFormatting>
  <conditionalFormatting sqref="C103:C104">
    <cfRule type="cellIs" dxfId="179" priority="68" operator="equal">
      <formula>0</formula>
    </cfRule>
  </conditionalFormatting>
  <conditionalFormatting sqref="I103:J105">
    <cfRule type="cellIs" dxfId="178" priority="67" operator="equal">
      <formula>0</formula>
    </cfRule>
  </conditionalFormatting>
  <conditionalFormatting sqref="C72">
    <cfRule type="cellIs" dxfId="177" priority="66" operator="equal">
      <formula>0</formula>
    </cfRule>
  </conditionalFormatting>
  <conditionalFormatting sqref="C41">
    <cfRule type="cellIs" dxfId="176" priority="65" operator="equal">
      <formula>0</formula>
    </cfRule>
  </conditionalFormatting>
  <conditionalFormatting sqref="A144:A146">
    <cfRule type="cellIs" dxfId="175" priority="59" operator="equal">
      <formula>0</formula>
    </cfRule>
  </conditionalFormatting>
  <conditionalFormatting sqref="H113:H115 K113:P115">
    <cfRule type="cellIs" dxfId="174" priority="63" operator="equal">
      <formula>0</formula>
    </cfRule>
  </conditionalFormatting>
  <conditionalFormatting sqref="D113:G115 B113:B115">
    <cfRule type="cellIs" dxfId="173" priority="62" operator="equal">
      <formula>0</formula>
    </cfRule>
  </conditionalFormatting>
  <conditionalFormatting sqref="C113:C114">
    <cfRule type="cellIs" dxfId="172" priority="61" operator="equal">
      <formula>0</formula>
    </cfRule>
  </conditionalFormatting>
  <conditionalFormatting sqref="I113:J115">
    <cfRule type="cellIs" dxfId="171" priority="60" operator="equal">
      <formula>0</formula>
    </cfRule>
  </conditionalFormatting>
  <conditionalFormatting sqref="I144:J146">
    <cfRule type="cellIs" dxfId="170" priority="55" operator="equal">
      <formula>0</formula>
    </cfRule>
  </conditionalFormatting>
  <conditionalFormatting sqref="H144:H146 K144:P146">
    <cfRule type="cellIs" dxfId="169" priority="58" operator="equal">
      <formula>0</formula>
    </cfRule>
  </conditionalFormatting>
  <conditionalFormatting sqref="D144:G146 B144:B146">
    <cfRule type="cellIs" dxfId="168" priority="57" operator="equal">
      <formula>0</formula>
    </cfRule>
  </conditionalFormatting>
  <conditionalFormatting sqref="C144:C145">
    <cfRule type="cellIs" dxfId="167" priority="56" operator="equal">
      <formula>0</formula>
    </cfRule>
  </conditionalFormatting>
  <conditionalFormatting sqref="A224:G224 I224:J224">
    <cfRule type="cellIs" dxfId="166" priority="54" operator="equal">
      <formula>0</formula>
    </cfRule>
  </conditionalFormatting>
  <conditionalFormatting sqref="K224:P224 H224">
    <cfRule type="cellIs" dxfId="165" priority="53" operator="equal">
      <formula>0</formula>
    </cfRule>
  </conditionalFormatting>
  <conditionalFormatting sqref="A226:A228">
    <cfRule type="cellIs" dxfId="164" priority="52" operator="equal">
      <formula>0</formula>
    </cfRule>
  </conditionalFormatting>
  <conditionalFormatting sqref="I226:J228">
    <cfRule type="cellIs" dxfId="163" priority="48" operator="equal">
      <formula>0</formula>
    </cfRule>
  </conditionalFormatting>
  <conditionalFormatting sqref="H226:H228 K226:P228">
    <cfRule type="cellIs" dxfId="162" priority="51" operator="equal">
      <formula>0</formula>
    </cfRule>
  </conditionalFormatting>
  <conditionalFormatting sqref="D226:G228 B226:B228">
    <cfRule type="cellIs" dxfId="161" priority="50" operator="equal">
      <formula>0</formula>
    </cfRule>
  </conditionalFormatting>
  <conditionalFormatting sqref="C226:C228">
    <cfRule type="cellIs" dxfId="160" priority="49" operator="equal">
      <formula>0</formula>
    </cfRule>
  </conditionalFormatting>
  <conditionalFormatting sqref="I240:J240 F240:G240">
    <cfRule type="cellIs" dxfId="159" priority="47" operator="equal">
      <formula>0</formula>
    </cfRule>
  </conditionalFormatting>
  <conditionalFormatting sqref="H240 K240:P240">
    <cfRule type="cellIs" dxfId="158" priority="46" operator="equal">
      <formula>0</formula>
    </cfRule>
  </conditionalFormatting>
  <conditionalFormatting sqref="C74">
    <cfRule type="cellIs" dxfId="157" priority="45" operator="equal">
      <formula>0</formula>
    </cfRule>
  </conditionalFormatting>
  <conditionalFormatting sqref="C105">
    <cfRule type="cellIs" dxfId="156" priority="44" operator="equal">
      <formula>0</formula>
    </cfRule>
  </conditionalFormatting>
  <conditionalFormatting sqref="C115">
    <cfRule type="cellIs" dxfId="155" priority="43" operator="equal">
      <formula>0</formula>
    </cfRule>
  </conditionalFormatting>
  <conditionalFormatting sqref="C146">
    <cfRule type="cellIs" dxfId="154" priority="42" operator="equal">
      <formula>0</formula>
    </cfRule>
  </conditionalFormatting>
  <conditionalFormatting sqref="K18:P18 H18">
    <cfRule type="cellIs" dxfId="153" priority="41" operator="equal">
      <formula>0</formula>
    </cfRule>
  </conditionalFormatting>
  <conditionalFormatting sqref="A18:B18 D18:G18">
    <cfRule type="cellIs" dxfId="152" priority="40" operator="equal">
      <formula>0</formula>
    </cfRule>
  </conditionalFormatting>
  <conditionalFormatting sqref="C18">
    <cfRule type="cellIs" dxfId="151" priority="39" operator="equal">
      <formula>0</formula>
    </cfRule>
  </conditionalFormatting>
  <conditionalFormatting sqref="I18:J18">
    <cfRule type="cellIs" dxfId="150" priority="38" operator="equal">
      <formula>0</formula>
    </cfRule>
  </conditionalFormatting>
  <conditionalFormatting sqref="A59:A66">
    <cfRule type="cellIs" dxfId="149" priority="24" operator="equal">
      <formula>0</formula>
    </cfRule>
  </conditionalFormatting>
  <conditionalFormatting sqref="C28:C35">
    <cfRule type="cellIs" dxfId="148" priority="25" operator="equal">
      <formula>0</formula>
    </cfRule>
  </conditionalFormatting>
  <conditionalFormatting sqref="A90:A97">
    <cfRule type="cellIs" dxfId="147" priority="20" operator="equal">
      <formula>0</formula>
    </cfRule>
  </conditionalFormatting>
  <conditionalFormatting sqref="I28:J35 B28:B35 D28:G35">
    <cfRule type="cellIs" dxfId="146" priority="26" operator="equal">
      <formula>0</formula>
    </cfRule>
  </conditionalFormatting>
  <conditionalFormatting sqref="H28:H35 K28:P35">
    <cfRule type="cellIs" dxfId="145" priority="27" operator="equal">
      <formula>0</formula>
    </cfRule>
  </conditionalFormatting>
  <conditionalFormatting sqref="C59:C66">
    <cfRule type="cellIs" dxfId="144" priority="21" operator="equal">
      <formula>0</formula>
    </cfRule>
  </conditionalFormatting>
  <conditionalFormatting sqref="C90:C97">
    <cfRule type="cellIs" dxfId="143" priority="17" operator="equal">
      <formula>0</formula>
    </cfRule>
  </conditionalFormatting>
  <conditionalFormatting sqref="A131:A138">
    <cfRule type="cellIs" dxfId="142" priority="16" operator="equal">
      <formula>0</formula>
    </cfRule>
  </conditionalFormatting>
  <conditionalFormatting sqref="I59:J66 B59:B66 D59:G66">
    <cfRule type="cellIs" dxfId="141" priority="22" operator="equal">
      <formula>0</formula>
    </cfRule>
  </conditionalFormatting>
  <conditionalFormatting sqref="H59:H66 K59:P66">
    <cfRule type="cellIs" dxfId="140" priority="23" operator="equal">
      <formula>0</formula>
    </cfRule>
  </conditionalFormatting>
  <conditionalFormatting sqref="C131:C138">
    <cfRule type="cellIs" dxfId="139" priority="13" operator="equal">
      <formula>0</formula>
    </cfRule>
  </conditionalFormatting>
  <conditionalFormatting sqref="I90:J97 B90:B97 D90:G97">
    <cfRule type="cellIs" dxfId="138" priority="18" operator="equal">
      <formula>0</formula>
    </cfRule>
  </conditionalFormatting>
  <conditionalFormatting sqref="H90:H97 K90:P97">
    <cfRule type="cellIs" dxfId="137" priority="19" operator="equal">
      <formula>0</formula>
    </cfRule>
  </conditionalFormatting>
  <conditionalFormatting sqref="C160:C167">
    <cfRule type="cellIs" dxfId="136" priority="9" operator="equal">
      <formula>0</formula>
    </cfRule>
  </conditionalFormatting>
  <conditionalFormatting sqref="A160:A167">
    <cfRule type="cellIs" dxfId="135" priority="12" operator="equal">
      <formula>0</formula>
    </cfRule>
  </conditionalFormatting>
  <conditionalFormatting sqref="I131:J138 B131:B138 D131:G138">
    <cfRule type="cellIs" dxfId="134" priority="14" operator="equal">
      <formula>0</formula>
    </cfRule>
  </conditionalFormatting>
  <conditionalFormatting sqref="H131:H138 K131:P138">
    <cfRule type="cellIs" dxfId="133" priority="15" operator="equal">
      <formula>0</formula>
    </cfRule>
  </conditionalFormatting>
  <conditionalFormatting sqref="A184:A191">
    <cfRule type="cellIs" dxfId="132" priority="8" operator="equal">
      <formula>0</formula>
    </cfRule>
  </conditionalFormatting>
  <conditionalFormatting sqref="I160:J167 B160:B167 D160:G167">
    <cfRule type="cellIs" dxfId="131" priority="10" operator="equal">
      <formula>0</formula>
    </cfRule>
  </conditionalFormatting>
  <conditionalFormatting sqref="H160:H167 K160:P167">
    <cfRule type="cellIs" dxfId="130" priority="11" operator="equal">
      <formula>0</formula>
    </cfRule>
  </conditionalFormatting>
  <conditionalFormatting sqref="I184:J191 B184:B191 D184:G191">
    <cfRule type="cellIs" dxfId="129" priority="6" operator="equal">
      <formula>0</formula>
    </cfRule>
  </conditionalFormatting>
  <conditionalFormatting sqref="H184:H191 K184:P191">
    <cfRule type="cellIs" dxfId="128" priority="7" operator="equal">
      <formula>0</formula>
    </cfRule>
  </conditionalFormatting>
  <conditionalFormatting sqref="C184:C191">
    <cfRule type="cellIs" dxfId="127" priority="5" operator="equal">
      <formula>0</formula>
    </cfRule>
  </conditionalFormatting>
  <conditionalFormatting sqref="A208:A215">
    <cfRule type="cellIs" dxfId="126" priority="4" operator="equal">
      <formula>0</formula>
    </cfRule>
  </conditionalFormatting>
  <conditionalFormatting sqref="I208:J215 B208:B215 D208:G215">
    <cfRule type="cellIs" dxfId="125" priority="2" operator="equal">
      <formula>0</formula>
    </cfRule>
  </conditionalFormatting>
  <conditionalFormatting sqref="H208:H215 K208:P215">
    <cfRule type="cellIs" dxfId="124" priority="3" operator="equal">
      <formula>0</formula>
    </cfRule>
  </conditionalFormatting>
  <conditionalFormatting sqref="C208:C215">
    <cfRule type="cellIs" dxfId="123" priority="1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0" operator="containsText" id="{EE428164-089A-404E-98DC-227888EB2467}">
            <xm:f>NOT(ISERROR(SEARCH("Tāme sastādīta ____. gada ___. ______________",A326)))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A326</xm:sqref>
        </x14:conditionalFormatting>
        <x14:conditionalFormatting xmlns:xm="http://schemas.microsoft.com/office/excel/2006/main">
          <x14:cfRule type="containsText" priority="79" operator="containsText" id="{879A8C95-2477-46CB-81ED-05AD5C15D29F}">
            <xm:f>NOT(ISERROR(SEARCH("Sertifikāta Nr. _________________________________",A331)))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A331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00"/>
  <sheetViews>
    <sheetView topLeftCell="A19" workbookViewId="0">
      <selection activeCell="I101" sqref="I101"/>
    </sheetView>
  </sheetViews>
  <sheetFormatPr defaultColWidth="9.109375" defaultRowHeight="10.199999999999999" x14ac:dyDescent="0.2"/>
  <cols>
    <col min="1" max="1" width="4.5546875" style="1" customWidth="1"/>
    <col min="2" max="2" width="9.44140625" style="1" bestFit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1">
        <f>'Kops a'!A22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267" t="s">
        <v>575</v>
      </c>
      <c r="D2" s="267"/>
      <c r="E2" s="267"/>
      <c r="F2" s="267"/>
      <c r="G2" s="267"/>
      <c r="H2" s="267"/>
      <c r="I2" s="267"/>
      <c r="J2" s="29"/>
    </row>
    <row r="3" spans="1:16" x14ac:dyDescent="0.2">
      <c r="A3" s="30"/>
      <c r="B3" s="30"/>
      <c r="C3" s="228" t="s">
        <v>17</v>
      </c>
      <c r="D3" s="228"/>
      <c r="E3" s="228"/>
      <c r="F3" s="228"/>
      <c r="G3" s="228"/>
      <c r="H3" s="228"/>
      <c r="I3" s="228"/>
      <c r="J3" s="30"/>
    </row>
    <row r="4" spans="1:16" x14ac:dyDescent="0.2">
      <c r="A4" s="30"/>
      <c r="B4" s="30"/>
      <c r="C4" s="268" t="s">
        <v>52</v>
      </c>
      <c r="D4" s="268"/>
      <c r="E4" s="268"/>
      <c r="F4" s="268"/>
      <c r="G4" s="268"/>
      <c r="H4" s="268"/>
      <c r="I4" s="268"/>
      <c r="J4" s="30"/>
    </row>
    <row r="5" spans="1:16" x14ac:dyDescent="0.2">
      <c r="A5" s="23"/>
      <c r="B5" s="23"/>
      <c r="C5" s="27" t="s">
        <v>5</v>
      </c>
      <c r="D5" s="281" t="str">
        <f>'Kops a'!D6</f>
        <v>DAUDZDZĪVOKĻU DZĪVOJAMĀ ĒKA</v>
      </c>
      <c r="E5" s="281"/>
      <c r="F5" s="281"/>
      <c r="G5" s="281"/>
      <c r="H5" s="281"/>
      <c r="I5" s="281"/>
      <c r="J5" s="281"/>
      <c r="K5" s="281"/>
      <c r="L5" s="281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281" t="str">
        <f>'Kops a'!D7</f>
        <v>ENERGOEFEKTIVITĀTES PAAUGSTINĀŠANA DAUDZDZĪVOKĻU DZĪVOJAMAI ĒKAI</v>
      </c>
      <c r="E6" s="281"/>
      <c r="F6" s="281"/>
      <c r="G6" s="281"/>
      <c r="H6" s="281"/>
      <c r="I6" s="281"/>
      <c r="J6" s="281"/>
      <c r="K6" s="281"/>
      <c r="L6" s="281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281" t="str">
        <f>'Kops a'!D8</f>
        <v>Pasta iela 34, Jelgava, ēkas kad. apz. 0900 001 0177 001</v>
      </c>
      <c r="E7" s="281"/>
      <c r="F7" s="281"/>
      <c r="G7" s="281"/>
      <c r="H7" s="281"/>
      <c r="I7" s="281"/>
      <c r="J7" s="281"/>
      <c r="K7" s="281"/>
      <c r="L7" s="281"/>
      <c r="M7" s="17"/>
      <c r="N7" s="17"/>
      <c r="O7" s="17"/>
      <c r="P7" s="17"/>
    </row>
    <row r="8" spans="1:16" x14ac:dyDescent="0.2">
      <c r="A8" s="23"/>
      <c r="B8" s="23"/>
      <c r="C8" s="160" t="s">
        <v>20</v>
      </c>
      <c r="D8" s="281">
        <f>'Kops a'!D9</f>
        <v>0</v>
      </c>
      <c r="E8" s="281"/>
      <c r="F8" s="281"/>
      <c r="G8" s="281"/>
      <c r="H8" s="281"/>
      <c r="I8" s="281"/>
      <c r="J8" s="281"/>
      <c r="K8" s="281"/>
      <c r="L8" s="281"/>
      <c r="M8" s="17"/>
      <c r="N8" s="17"/>
      <c r="O8" s="17"/>
      <c r="P8" s="17"/>
    </row>
    <row r="9" spans="1:16" ht="11.25" customHeight="1" x14ac:dyDescent="0.2">
      <c r="A9" s="269" t="s">
        <v>702</v>
      </c>
      <c r="B9" s="269"/>
      <c r="C9" s="269"/>
      <c r="D9" s="269"/>
      <c r="E9" s="269"/>
      <c r="F9" s="269"/>
      <c r="G9" s="31"/>
      <c r="H9" s="31"/>
      <c r="I9" s="31"/>
      <c r="J9" s="273" t="s">
        <v>39</v>
      </c>
      <c r="K9" s="273"/>
      <c r="L9" s="273"/>
      <c r="M9" s="273"/>
      <c r="N9" s="280">
        <f>P88</f>
        <v>0</v>
      </c>
      <c r="O9" s="280"/>
      <c r="P9" s="31"/>
    </row>
    <row r="10" spans="1:16" x14ac:dyDescent="0.2">
      <c r="A10" s="32"/>
      <c r="B10" s="33"/>
      <c r="C10" s="160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1"/>
      <c r="P10" s="90" t="str">
        <f>A94</f>
        <v xml:space="preserve">Tāme sastādīta </v>
      </c>
    </row>
    <row r="11" spans="1:16" ht="10.8" thickBot="1" x14ac:dyDescent="0.25">
      <c r="A11" s="32"/>
      <c r="B11" s="33"/>
      <c r="C11" s="160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239" t="s">
        <v>23</v>
      </c>
      <c r="B12" s="275" t="s">
        <v>40</v>
      </c>
      <c r="C12" s="271" t="s">
        <v>41</v>
      </c>
      <c r="D12" s="278" t="s">
        <v>42</v>
      </c>
      <c r="E12" s="282" t="s">
        <v>43</v>
      </c>
      <c r="F12" s="270" t="s">
        <v>44</v>
      </c>
      <c r="G12" s="271"/>
      <c r="H12" s="271"/>
      <c r="I12" s="271"/>
      <c r="J12" s="271"/>
      <c r="K12" s="272"/>
      <c r="L12" s="270" t="s">
        <v>45</v>
      </c>
      <c r="M12" s="271"/>
      <c r="N12" s="271"/>
      <c r="O12" s="271"/>
      <c r="P12" s="272"/>
    </row>
    <row r="13" spans="1:16" ht="126.75" customHeight="1" thickBot="1" x14ac:dyDescent="0.25">
      <c r="A13" s="274"/>
      <c r="B13" s="276"/>
      <c r="C13" s="277"/>
      <c r="D13" s="279"/>
      <c r="E13" s="283"/>
      <c r="F13" s="161" t="s">
        <v>46</v>
      </c>
      <c r="G13" s="162" t="s">
        <v>47</v>
      </c>
      <c r="H13" s="162" t="s">
        <v>48</v>
      </c>
      <c r="I13" s="162" t="s">
        <v>49</v>
      </c>
      <c r="J13" s="162" t="s">
        <v>50</v>
      </c>
      <c r="K13" s="62" t="s">
        <v>51</v>
      </c>
      <c r="L13" s="161" t="s">
        <v>46</v>
      </c>
      <c r="M13" s="162" t="s">
        <v>48</v>
      </c>
      <c r="N13" s="162" t="s">
        <v>49</v>
      </c>
      <c r="O13" s="162" t="s">
        <v>50</v>
      </c>
      <c r="P13" s="62" t="s">
        <v>51</v>
      </c>
    </row>
    <row r="14" spans="1:16" ht="13.2" x14ac:dyDescent="0.2">
      <c r="A14" s="101"/>
      <c r="B14" s="102"/>
      <c r="C14" s="103" t="s">
        <v>545</v>
      </c>
      <c r="D14" s="104"/>
      <c r="E14" s="105"/>
      <c r="F14" s="138"/>
      <c r="G14" s="139"/>
      <c r="H14" s="139"/>
      <c r="I14" s="139"/>
      <c r="J14" s="139"/>
      <c r="K14" s="190"/>
      <c r="L14" s="191"/>
      <c r="M14" s="139"/>
      <c r="N14" s="139"/>
      <c r="O14" s="197"/>
      <c r="P14" s="198"/>
    </row>
    <row r="15" spans="1:16" ht="26.4" x14ac:dyDescent="0.2">
      <c r="A15" s="110">
        <v>1</v>
      </c>
      <c r="B15" s="106" t="s">
        <v>60</v>
      </c>
      <c r="C15" s="111" t="s">
        <v>576</v>
      </c>
      <c r="D15" s="106" t="s">
        <v>73</v>
      </c>
      <c r="E15" s="112">
        <v>430</v>
      </c>
      <c r="F15" s="120"/>
      <c r="G15" s="121"/>
      <c r="H15" s="122">
        <f>ROUND(F15*G15,2)</f>
        <v>0</v>
      </c>
      <c r="I15" s="121"/>
      <c r="J15" s="121"/>
      <c r="K15" s="179">
        <f t="shared" ref="K15:K20" si="0">ROUND(H15+J15+I15,2)</f>
        <v>0</v>
      </c>
      <c r="L15" s="184">
        <f t="shared" ref="L15:L20" si="1">ROUND(E15*F15,2)</f>
        <v>0</v>
      </c>
      <c r="M15" s="121">
        <f t="shared" ref="M15:M20" si="2">ROUND(E15*H15,2)</f>
        <v>0</v>
      </c>
      <c r="N15" s="121">
        <f t="shared" ref="N15:N20" si="3">ROUND(E15*I15,2)</f>
        <v>0</v>
      </c>
      <c r="O15" s="121">
        <f t="shared" ref="O15:O20" si="4">ROUND(E15*J15,2)</f>
        <v>0</v>
      </c>
      <c r="P15" s="123">
        <f t="shared" ref="P15:P20" si="5">ROUND(O15+N15+M15,2)</f>
        <v>0</v>
      </c>
    </row>
    <row r="16" spans="1:16" ht="13.2" x14ac:dyDescent="0.2">
      <c r="A16" s="110">
        <v>2</v>
      </c>
      <c r="B16" s="106" t="s">
        <v>60</v>
      </c>
      <c r="C16" s="111" t="s">
        <v>546</v>
      </c>
      <c r="D16" s="106" t="s">
        <v>73</v>
      </c>
      <c r="E16" s="112">
        <f>E15</f>
        <v>430</v>
      </c>
      <c r="F16" s="120"/>
      <c r="G16" s="121"/>
      <c r="H16" s="122">
        <f>ROUND(F16*G16,2)</f>
        <v>0</v>
      </c>
      <c r="I16" s="121"/>
      <c r="J16" s="121"/>
      <c r="K16" s="179">
        <f t="shared" si="0"/>
        <v>0</v>
      </c>
      <c r="L16" s="184">
        <f t="shared" si="1"/>
        <v>0</v>
      </c>
      <c r="M16" s="121">
        <f t="shared" si="2"/>
        <v>0</v>
      </c>
      <c r="N16" s="121">
        <f t="shared" si="3"/>
        <v>0</v>
      </c>
      <c r="O16" s="121">
        <f t="shared" si="4"/>
        <v>0</v>
      </c>
      <c r="P16" s="123">
        <f t="shared" si="5"/>
        <v>0</v>
      </c>
    </row>
    <row r="17" spans="1:23" ht="13.2" x14ac:dyDescent="0.2">
      <c r="A17" s="110">
        <v>3</v>
      </c>
      <c r="B17" s="106"/>
      <c r="C17" s="99" t="s">
        <v>547</v>
      </c>
      <c r="D17" s="106" t="s">
        <v>73</v>
      </c>
      <c r="E17" s="154">
        <f>E16*1.2</f>
        <v>516</v>
      </c>
      <c r="F17" s="120"/>
      <c r="G17" s="121"/>
      <c r="H17" s="122"/>
      <c r="I17" s="121"/>
      <c r="J17" s="121"/>
      <c r="K17" s="179">
        <f t="shared" si="0"/>
        <v>0</v>
      </c>
      <c r="L17" s="184">
        <f t="shared" si="1"/>
        <v>0</v>
      </c>
      <c r="M17" s="121">
        <f t="shared" si="2"/>
        <v>0</v>
      </c>
      <c r="N17" s="121">
        <f t="shared" si="3"/>
        <v>0</v>
      </c>
      <c r="O17" s="121">
        <f t="shared" si="4"/>
        <v>0</v>
      </c>
      <c r="P17" s="123">
        <f t="shared" si="5"/>
        <v>0</v>
      </c>
    </row>
    <row r="18" spans="1:23" ht="13.2" x14ac:dyDescent="0.2">
      <c r="A18" s="110">
        <v>4</v>
      </c>
      <c r="B18" s="106"/>
      <c r="C18" s="99" t="s">
        <v>548</v>
      </c>
      <c r="D18" s="106" t="s">
        <v>62</v>
      </c>
      <c r="E18" s="154">
        <f>E16*0.7</f>
        <v>301</v>
      </c>
      <c r="F18" s="120"/>
      <c r="G18" s="121"/>
      <c r="H18" s="122"/>
      <c r="I18" s="121"/>
      <c r="J18" s="121"/>
      <c r="K18" s="179">
        <f t="shared" si="0"/>
        <v>0</v>
      </c>
      <c r="L18" s="184">
        <f t="shared" si="1"/>
        <v>0</v>
      </c>
      <c r="M18" s="121">
        <f t="shared" si="2"/>
        <v>0</v>
      </c>
      <c r="N18" s="121">
        <f t="shared" si="3"/>
        <v>0</v>
      </c>
      <c r="O18" s="121">
        <f t="shared" si="4"/>
        <v>0</v>
      </c>
      <c r="P18" s="123">
        <f t="shared" si="5"/>
        <v>0</v>
      </c>
    </row>
    <row r="19" spans="1:23" ht="39.6" x14ac:dyDescent="0.2">
      <c r="A19" s="110">
        <v>5</v>
      </c>
      <c r="B19" s="106" t="s">
        <v>60</v>
      </c>
      <c r="C19" s="111" t="s">
        <v>549</v>
      </c>
      <c r="D19" s="106" t="s">
        <v>73</v>
      </c>
      <c r="E19" s="112">
        <f>E15</f>
        <v>430</v>
      </c>
      <c r="F19" s="120"/>
      <c r="G19" s="121"/>
      <c r="H19" s="122">
        <f t="shared" ref="H19:H29" si="6">ROUND(F19*G19,2)</f>
        <v>0</v>
      </c>
      <c r="I19" s="121"/>
      <c r="J19" s="121"/>
      <c r="K19" s="179">
        <f t="shared" si="0"/>
        <v>0</v>
      </c>
      <c r="L19" s="184">
        <f t="shared" si="1"/>
        <v>0</v>
      </c>
      <c r="M19" s="121">
        <f t="shared" si="2"/>
        <v>0</v>
      </c>
      <c r="N19" s="121">
        <f t="shared" si="3"/>
        <v>0</v>
      </c>
      <c r="O19" s="121">
        <f t="shared" si="4"/>
        <v>0</v>
      </c>
      <c r="P19" s="123">
        <f t="shared" si="5"/>
        <v>0</v>
      </c>
    </row>
    <row r="20" spans="1:23" ht="26.4" x14ac:dyDescent="0.2">
      <c r="A20" s="110">
        <v>6</v>
      </c>
      <c r="B20" s="106"/>
      <c r="C20" s="99" t="s">
        <v>696</v>
      </c>
      <c r="D20" s="106" t="s">
        <v>89</v>
      </c>
      <c r="E20" s="112">
        <f>E19*0.3*1.02</f>
        <v>131.58000000000001</v>
      </c>
      <c r="F20" s="120"/>
      <c r="G20" s="121"/>
      <c r="H20" s="122"/>
      <c r="I20" s="121"/>
      <c r="J20" s="121"/>
      <c r="K20" s="179">
        <f t="shared" si="0"/>
        <v>0</v>
      </c>
      <c r="L20" s="184">
        <f t="shared" si="1"/>
        <v>0</v>
      </c>
      <c r="M20" s="121">
        <f t="shared" si="2"/>
        <v>0</v>
      </c>
      <c r="N20" s="121">
        <f t="shared" si="3"/>
        <v>0</v>
      </c>
      <c r="O20" s="121">
        <f t="shared" si="4"/>
        <v>0</v>
      </c>
      <c r="P20" s="123">
        <f t="shared" si="5"/>
        <v>0</v>
      </c>
      <c r="Q20" s="290"/>
      <c r="R20" s="291"/>
      <c r="S20" s="291"/>
      <c r="T20" s="291"/>
      <c r="U20" s="291"/>
      <c r="V20" s="291"/>
      <c r="W20" s="291"/>
    </row>
    <row r="21" spans="1:23" ht="13.2" x14ac:dyDescent="0.2">
      <c r="A21" s="140"/>
      <c r="B21" s="107"/>
      <c r="C21" s="141" t="s">
        <v>550</v>
      </c>
      <c r="D21" s="142"/>
      <c r="E21" s="143"/>
      <c r="F21" s="144"/>
      <c r="G21" s="121"/>
      <c r="H21" s="122"/>
      <c r="I21" s="145"/>
      <c r="J21" s="145"/>
      <c r="K21" s="188"/>
      <c r="L21" s="189"/>
      <c r="M21" s="145"/>
      <c r="N21" s="145"/>
      <c r="O21" s="146"/>
      <c r="P21" s="147"/>
    </row>
    <row r="22" spans="1:23" ht="39.6" x14ac:dyDescent="0.2">
      <c r="A22" s="110">
        <v>1</v>
      </c>
      <c r="B22" s="106" t="s">
        <v>60</v>
      </c>
      <c r="C22" s="100" t="s">
        <v>551</v>
      </c>
      <c r="D22" s="106" t="s">
        <v>64</v>
      </c>
      <c r="E22" s="154">
        <v>4</v>
      </c>
      <c r="F22" s="120"/>
      <c r="G22" s="121"/>
      <c r="H22" s="122">
        <f t="shared" si="6"/>
        <v>0</v>
      </c>
      <c r="I22" s="121"/>
      <c r="J22" s="121"/>
      <c r="K22" s="179">
        <f>ROUND(H22+J22+I22,2)</f>
        <v>0</v>
      </c>
      <c r="L22" s="184">
        <f>ROUND(E22*F22,2)</f>
        <v>0</v>
      </c>
      <c r="M22" s="121">
        <f>ROUND(E22*H22,2)</f>
        <v>0</v>
      </c>
      <c r="N22" s="121">
        <f>ROUND(E22*I22,2)</f>
        <v>0</v>
      </c>
      <c r="O22" s="121">
        <f>ROUND(E22*J22,2)</f>
        <v>0</v>
      </c>
      <c r="P22" s="123">
        <f>ROUND(O22+N22+M22,2)</f>
        <v>0</v>
      </c>
    </row>
    <row r="23" spans="1:23" ht="39.6" x14ac:dyDescent="0.2">
      <c r="A23" s="110">
        <v>2</v>
      </c>
      <c r="B23" s="106" t="s">
        <v>60</v>
      </c>
      <c r="C23" s="100" t="s">
        <v>552</v>
      </c>
      <c r="D23" s="106" t="s">
        <v>64</v>
      </c>
      <c r="E23" s="112">
        <v>2</v>
      </c>
      <c r="F23" s="120"/>
      <c r="G23" s="121"/>
      <c r="H23" s="122">
        <f t="shared" si="6"/>
        <v>0</v>
      </c>
      <c r="I23" s="121"/>
      <c r="J23" s="121"/>
      <c r="K23" s="179">
        <f>ROUND(H23+J23+I23,2)</f>
        <v>0</v>
      </c>
      <c r="L23" s="184">
        <f>ROUND(E23*F23,2)</f>
        <v>0</v>
      </c>
      <c r="M23" s="121">
        <f>ROUND(E23*H23,2)</f>
        <v>0</v>
      </c>
      <c r="N23" s="121">
        <f>ROUND(E23*I23,2)</f>
        <v>0</v>
      </c>
      <c r="O23" s="121">
        <f>ROUND(E23*J23,2)</f>
        <v>0</v>
      </c>
      <c r="P23" s="123">
        <f>ROUND(O23+N23+M23,2)</f>
        <v>0</v>
      </c>
    </row>
    <row r="24" spans="1:23" ht="13.2" x14ac:dyDescent="0.2">
      <c r="A24" s="110">
        <v>3</v>
      </c>
      <c r="B24" s="106" t="s">
        <v>60</v>
      </c>
      <c r="C24" s="100" t="s">
        <v>553</v>
      </c>
      <c r="D24" s="106" t="s">
        <v>64</v>
      </c>
      <c r="E24" s="112">
        <v>2</v>
      </c>
      <c r="F24" s="120"/>
      <c r="G24" s="121"/>
      <c r="H24" s="122">
        <f t="shared" si="6"/>
        <v>0</v>
      </c>
      <c r="I24" s="121"/>
      <c r="J24" s="121"/>
      <c r="K24" s="179">
        <f>ROUND(H24+J24+I24,2)</f>
        <v>0</v>
      </c>
      <c r="L24" s="184">
        <f>ROUND(E24*F24,2)</f>
        <v>0</v>
      </c>
      <c r="M24" s="121">
        <f>ROUND(E24*H24,2)</f>
        <v>0</v>
      </c>
      <c r="N24" s="121">
        <f>ROUND(E24*I24,2)</f>
        <v>0</v>
      </c>
      <c r="O24" s="121">
        <f>ROUND(E24*J24,2)</f>
        <v>0</v>
      </c>
      <c r="P24" s="123">
        <f>ROUND(O24+N24+M24,2)</f>
        <v>0</v>
      </c>
    </row>
    <row r="25" spans="1:23" ht="39.6" x14ac:dyDescent="0.2">
      <c r="A25" s="110">
        <v>4</v>
      </c>
      <c r="B25" s="106" t="s">
        <v>60</v>
      </c>
      <c r="C25" s="100" t="s">
        <v>554</v>
      </c>
      <c r="D25" s="106" t="s">
        <v>68</v>
      </c>
      <c r="E25" s="154">
        <v>1</v>
      </c>
      <c r="F25" s="120"/>
      <c r="G25" s="121"/>
      <c r="H25" s="122">
        <f t="shared" si="6"/>
        <v>0</v>
      </c>
      <c r="I25" s="121"/>
      <c r="J25" s="121"/>
      <c r="K25" s="179">
        <f>ROUND(H25+J25+I25,2)</f>
        <v>0</v>
      </c>
      <c r="L25" s="184">
        <f>ROUND(E25*F25,2)</f>
        <v>0</v>
      </c>
      <c r="M25" s="121">
        <f>ROUND(E25*H25,2)</f>
        <v>0</v>
      </c>
      <c r="N25" s="121">
        <f>ROUND(E25*I25,2)</f>
        <v>0</v>
      </c>
      <c r="O25" s="121">
        <f>ROUND(E25*J25,2)</f>
        <v>0</v>
      </c>
      <c r="P25" s="123">
        <f>ROUND(O25+N25+M25,2)</f>
        <v>0</v>
      </c>
    </row>
    <row r="26" spans="1:23" ht="39.6" x14ac:dyDescent="0.2">
      <c r="A26" s="110">
        <v>5</v>
      </c>
      <c r="B26" s="106" t="s">
        <v>60</v>
      </c>
      <c r="C26" s="100" t="s">
        <v>555</v>
      </c>
      <c r="D26" s="106" t="s">
        <v>68</v>
      </c>
      <c r="E26" s="112">
        <v>1</v>
      </c>
      <c r="F26" s="120"/>
      <c r="G26" s="121"/>
      <c r="H26" s="122">
        <f t="shared" si="6"/>
        <v>0</v>
      </c>
      <c r="I26" s="121"/>
      <c r="J26" s="121"/>
      <c r="K26" s="179">
        <f t="shared" ref="K26" si="7">ROUND(H26+J26+I26,2)</f>
        <v>0</v>
      </c>
      <c r="L26" s="184">
        <f t="shared" ref="L26" si="8">ROUND(E26*F26,2)</f>
        <v>0</v>
      </c>
      <c r="M26" s="121">
        <f t="shared" ref="M26" si="9">ROUND(E26*H26,2)</f>
        <v>0</v>
      </c>
      <c r="N26" s="121">
        <f t="shared" ref="N26" si="10">ROUND(E26*I26,2)</f>
        <v>0</v>
      </c>
      <c r="O26" s="121">
        <f t="shared" ref="O26" si="11">ROUND(E26*J26,2)</f>
        <v>0</v>
      </c>
      <c r="P26" s="123">
        <f t="shared" ref="P26" si="12">ROUND(O26+N26+M26,2)</f>
        <v>0</v>
      </c>
    </row>
    <row r="27" spans="1:23" ht="13.2" x14ac:dyDescent="0.2">
      <c r="A27" s="110">
        <v>6</v>
      </c>
      <c r="B27" s="106" t="s">
        <v>60</v>
      </c>
      <c r="C27" s="100" t="s">
        <v>556</v>
      </c>
      <c r="D27" s="106" t="s">
        <v>62</v>
      </c>
      <c r="E27" s="112">
        <v>5.4</v>
      </c>
      <c r="F27" s="120"/>
      <c r="G27" s="121"/>
      <c r="H27" s="122">
        <f t="shared" si="6"/>
        <v>0</v>
      </c>
      <c r="I27" s="121"/>
      <c r="J27" s="121"/>
      <c r="K27" s="179">
        <f>ROUND(H27+J27+I27,2)</f>
        <v>0</v>
      </c>
      <c r="L27" s="184">
        <f>ROUND(E27*F27,2)</f>
        <v>0</v>
      </c>
      <c r="M27" s="121">
        <f>ROUND(E27*H27,2)</f>
        <v>0</v>
      </c>
      <c r="N27" s="121">
        <f>ROUND(E27*I27,2)</f>
        <v>0</v>
      </c>
      <c r="O27" s="121">
        <f>ROUND(E27*J27,2)</f>
        <v>0</v>
      </c>
      <c r="P27" s="123">
        <f>ROUND(O27+N27+M27,2)</f>
        <v>0</v>
      </c>
    </row>
    <row r="28" spans="1:23" ht="26.4" x14ac:dyDescent="0.2">
      <c r="A28" s="110">
        <v>7</v>
      </c>
      <c r="B28" s="106" t="s">
        <v>60</v>
      </c>
      <c r="C28" s="100" t="s">
        <v>557</v>
      </c>
      <c r="D28" s="106" t="s">
        <v>68</v>
      </c>
      <c r="E28" s="154">
        <v>1</v>
      </c>
      <c r="F28" s="120"/>
      <c r="G28" s="121"/>
      <c r="H28" s="122">
        <f t="shared" si="6"/>
        <v>0</v>
      </c>
      <c r="I28" s="121"/>
      <c r="J28" s="121"/>
      <c r="K28" s="179">
        <f t="shared" ref="K28" si="13">ROUND(H28+J28+I28,2)</f>
        <v>0</v>
      </c>
      <c r="L28" s="184">
        <f t="shared" ref="L28" si="14">ROUND(E28*F28,2)</f>
        <v>0</v>
      </c>
      <c r="M28" s="121">
        <f t="shared" ref="M28" si="15">ROUND(E28*H28,2)</f>
        <v>0</v>
      </c>
      <c r="N28" s="121">
        <f t="shared" ref="N28" si="16">ROUND(E28*I28,2)</f>
        <v>0</v>
      </c>
      <c r="O28" s="121">
        <f t="shared" ref="O28" si="17">ROUND(E28*J28,2)</f>
        <v>0</v>
      </c>
      <c r="P28" s="123">
        <f t="shared" ref="P28" si="18">ROUND(O28+N28+M28,2)</f>
        <v>0</v>
      </c>
    </row>
    <row r="29" spans="1:23" ht="26.4" x14ac:dyDescent="0.2">
      <c r="A29" s="110">
        <v>8</v>
      </c>
      <c r="B29" s="106" t="s">
        <v>60</v>
      </c>
      <c r="C29" s="100" t="s">
        <v>558</v>
      </c>
      <c r="D29" s="106" t="s">
        <v>68</v>
      </c>
      <c r="E29" s="112">
        <v>1</v>
      </c>
      <c r="F29" s="120"/>
      <c r="G29" s="121"/>
      <c r="H29" s="122">
        <f t="shared" si="6"/>
        <v>0</v>
      </c>
      <c r="I29" s="121"/>
      <c r="J29" s="121"/>
      <c r="K29" s="179">
        <f>ROUND(H29+J29+I29,2)</f>
        <v>0</v>
      </c>
      <c r="L29" s="184">
        <f>ROUND(E29*F29,2)</f>
        <v>0</v>
      </c>
      <c r="M29" s="121">
        <f>ROUND(E29*H29,2)</f>
        <v>0</v>
      </c>
      <c r="N29" s="121">
        <f>ROUND(E29*I29,2)</f>
        <v>0</v>
      </c>
      <c r="O29" s="121">
        <f>ROUND(E29*J29,2)</f>
        <v>0</v>
      </c>
      <c r="P29" s="123">
        <f>ROUND(O29+N29+M29,2)</f>
        <v>0</v>
      </c>
    </row>
    <row r="30" spans="1:23" ht="13.2" x14ac:dyDescent="0.2">
      <c r="A30" s="140"/>
      <c r="B30" s="107"/>
      <c r="C30" s="141" t="s">
        <v>559</v>
      </c>
      <c r="D30" s="142"/>
      <c r="E30" s="143"/>
      <c r="F30" s="144"/>
      <c r="G30" s="121"/>
      <c r="H30" s="122"/>
      <c r="I30" s="145"/>
      <c r="J30" s="145"/>
      <c r="K30" s="188"/>
      <c r="L30" s="189"/>
      <c r="M30" s="145"/>
      <c r="N30" s="145"/>
      <c r="O30" s="146"/>
      <c r="P30" s="147"/>
    </row>
    <row r="31" spans="1:23" ht="26.4" x14ac:dyDescent="0.2">
      <c r="A31" s="110">
        <v>1</v>
      </c>
      <c r="B31" s="106" t="s">
        <v>60</v>
      </c>
      <c r="C31" s="100" t="s">
        <v>107</v>
      </c>
      <c r="D31" s="106" t="s">
        <v>73</v>
      </c>
      <c r="E31" s="151">
        <v>70.7</v>
      </c>
      <c r="F31" s="120"/>
      <c r="G31" s="121"/>
      <c r="H31" s="122">
        <f>ROUND(F31*G31,2)</f>
        <v>0</v>
      </c>
      <c r="I31" s="121"/>
      <c r="J31" s="121"/>
      <c r="K31" s="179">
        <f>ROUND(H31+J31+I31,2)</f>
        <v>0</v>
      </c>
      <c r="L31" s="184">
        <f>ROUND(E31*F31,2)</f>
        <v>0</v>
      </c>
      <c r="M31" s="121">
        <f>ROUND(E31*H31,2)</f>
        <v>0</v>
      </c>
      <c r="N31" s="121">
        <f>ROUND(E31*I31,2)</f>
        <v>0</v>
      </c>
      <c r="O31" s="121">
        <f>ROUND(E31*J31,2)</f>
        <v>0</v>
      </c>
      <c r="P31" s="123">
        <f>ROUND(O31+N31+M31,2)</f>
        <v>0</v>
      </c>
      <c r="Q31" s="292"/>
      <c r="R31" s="291"/>
      <c r="S31" s="291"/>
      <c r="T31" s="291"/>
      <c r="U31" s="291"/>
      <c r="V31" s="291"/>
    </row>
    <row r="32" spans="1:23" ht="13.2" x14ac:dyDescent="0.2">
      <c r="A32" s="110">
        <v>2</v>
      </c>
      <c r="B32" s="106"/>
      <c r="C32" s="99" t="s">
        <v>98</v>
      </c>
      <c r="D32" s="106" t="s">
        <v>96</v>
      </c>
      <c r="E32" s="112">
        <f>E31*0.12</f>
        <v>8.484</v>
      </c>
      <c r="F32" s="120"/>
      <c r="G32" s="121"/>
      <c r="H32" s="122"/>
      <c r="I32" s="121"/>
      <c r="J32" s="121"/>
      <c r="K32" s="179">
        <f t="shared" ref="K32:K41" si="19">ROUND(H32+J32+I32,2)</f>
        <v>0</v>
      </c>
      <c r="L32" s="184">
        <f t="shared" ref="L32:L41" si="20">ROUND(E32*F32,2)</f>
        <v>0</v>
      </c>
      <c r="M32" s="121">
        <f t="shared" ref="M32:M41" si="21">ROUND(E32*H32,2)</f>
        <v>0</v>
      </c>
      <c r="N32" s="121">
        <f t="shared" ref="N32:N41" si="22">ROUND(E32*I32,2)</f>
        <v>0</v>
      </c>
      <c r="O32" s="121">
        <f t="shared" ref="O32:O41" si="23">ROUND(E32*J32,2)</f>
        <v>0</v>
      </c>
      <c r="P32" s="123">
        <f t="shared" ref="P32:P41" si="24">ROUND(O32+N32+M32,2)</f>
        <v>0</v>
      </c>
      <c r="Q32" s="290"/>
      <c r="R32" s="291"/>
      <c r="S32" s="291"/>
      <c r="T32" s="291"/>
      <c r="U32" s="291"/>
      <c r="V32" s="291"/>
    </row>
    <row r="33" spans="1:22" ht="26.4" x14ac:dyDescent="0.2">
      <c r="A33" s="110">
        <v>3</v>
      </c>
      <c r="B33" s="106"/>
      <c r="C33" s="99" t="s">
        <v>108</v>
      </c>
      <c r="D33" s="106" t="s">
        <v>109</v>
      </c>
      <c r="E33" s="152">
        <f>E31*5</f>
        <v>353.5</v>
      </c>
      <c r="F33" s="120"/>
      <c r="G33" s="121"/>
      <c r="H33" s="122"/>
      <c r="I33" s="121"/>
      <c r="J33" s="121"/>
      <c r="K33" s="179">
        <f t="shared" si="19"/>
        <v>0</v>
      </c>
      <c r="L33" s="184">
        <f t="shared" si="20"/>
        <v>0</v>
      </c>
      <c r="M33" s="121">
        <f t="shared" si="21"/>
        <v>0</v>
      </c>
      <c r="N33" s="121">
        <f t="shared" si="22"/>
        <v>0</v>
      </c>
      <c r="O33" s="121">
        <f t="shared" si="23"/>
        <v>0</v>
      </c>
      <c r="P33" s="123">
        <f t="shared" si="24"/>
        <v>0</v>
      </c>
      <c r="Q33" s="290"/>
      <c r="R33" s="291"/>
      <c r="S33" s="291"/>
      <c r="T33" s="291"/>
      <c r="U33" s="291"/>
      <c r="V33" s="291"/>
    </row>
    <row r="34" spans="1:22" ht="13.2" x14ac:dyDescent="0.2">
      <c r="A34" s="110">
        <v>4</v>
      </c>
      <c r="B34" s="106" t="s">
        <v>60</v>
      </c>
      <c r="C34" s="100" t="s">
        <v>102</v>
      </c>
      <c r="D34" s="106" t="s">
        <v>73</v>
      </c>
      <c r="E34" s="112">
        <f>E31</f>
        <v>70.7</v>
      </c>
      <c r="F34" s="120"/>
      <c r="G34" s="121"/>
      <c r="H34" s="122">
        <f t="shared" ref="H34:H37" si="25">ROUND(F34*G34,2)</f>
        <v>0</v>
      </c>
      <c r="I34" s="121"/>
      <c r="J34" s="121"/>
      <c r="K34" s="179">
        <f>ROUND(H34+J34+I34,2)</f>
        <v>0</v>
      </c>
      <c r="L34" s="184">
        <f>ROUND(E34*F34,2)</f>
        <v>0</v>
      </c>
      <c r="M34" s="121">
        <f>ROUND(E34*H34,2)</f>
        <v>0</v>
      </c>
      <c r="N34" s="121">
        <f>ROUND(E34*I34,2)</f>
        <v>0</v>
      </c>
      <c r="O34" s="121">
        <f>ROUND(E34*J34,2)</f>
        <v>0</v>
      </c>
      <c r="P34" s="123">
        <f>ROUND(O34+N34+M34,2)</f>
        <v>0</v>
      </c>
      <c r="Q34" s="290"/>
      <c r="R34" s="291"/>
      <c r="S34" s="291"/>
      <c r="T34" s="291"/>
      <c r="U34" s="291"/>
      <c r="V34" s="291"/>
    </row>
    <row r="35" spans="1:22" ht="13.2" x14ac:dyDescent="0.2">
      <c r="A35" s="110">
        <v>5</v>
      </c>
      <c r="B35" s="106"/>
      <c r="C35" s="99" t="s">
        <v>114</v>
      </c>
      <c r="D35" s="106" t="s">
        <v>99</v>
      </c>
      <c r="E35" s="152">
        <f>E34*5</f>
        <v>353.5</v>
      </c>
      <c r="F35" s="120"/>
      <c r="G35" s="121"/>
      <c r="H35" s="122"/>
      <c r="I35" s="121"/>
      <c r="J35" s="121"/>
      <c r="K35" s="179">
        <f t="shared" ref="K35" si="26">ROUND(H35+J35+I35,2)</f>
        <v>0</v>
      </c>
      <c r="L35" s="184">
        <f t="shared" ref="L35" si="27">ROUND(E35*F35,2)</f>
        <v>0</v>
      </c>
      <c r="M35" s="121">
        <f t="shared" ref="M35" si="28">ROUND(E35*H35,2)</f>
        <v>0</v>
      </c>
      <c r="N35" s="121">
        <f t="shared" ref="N35" si="29">ROUND(E35*I35,2)</f>
        <v>0</v>
      </c>
      <c r="O35" s="121">
        <f t="shared" ref="O35" si="30">ROUND(E35*J35,2)</f>
        <v>0</v>
      </c>
      <c r="P35" s="123">
        <f t="shared" ref="P35" si="31">ROUND(O35+N35+M35,2)</f>
        <v>0</v>
      </c>
      <c r="Q35" s="290"/>
      <c r="R35" s="291"/>
      <c r="S35" s="291"/>
      <c r="T35" s="291"/>
      <c r="U35" s="291"/>
      <c r="V35" s="291"/>
    </row>
    <row r="36" spans="1:22" ht="39.6" x14ac:dyDescent="0.2">
      <c r="A36" s="110">
        <v>6</v>
      </c>
      <c r="B36" s="106"/>
      <c r="C36" s="99" t="s">
        <v>286</v>
      </c>
      <c r="D36" s="106" t="s">
        <v>73</v>
      </c>
      <c r="E36" s="112">
        <f>E31*1.05</f>
        <v>74.234999999999999</v>
      </c>
      <c r="F36" s="120"/>
      <c r="G36" s="121"/>
      <c r="H36" s="122"/>
      <c r="I36" s="121"/>
      <c r="J36" s="121"/>
      <c r="K36" s="179">
        <f t="shared" si="19"/>
        <v>0</v>
      </c>
      <c r="L36" s="184">
        <f t="shared" si="20"/>
        <v>0</v>
      </c>
      <c r="M36" s="121">
        <f t="shared" si="21"/>
        <v>0</v>
      </c>
      <c r="N36" s="121">
        <f t="shared" si="22"/>
        <v>0</v>
      </c>
      <c r="O36" s="121">
        <f t="shared" si="23"/>
        <v>0</v>
      </c>
      <c r="P36" s="123">
        <f t="shared" si="24"/>
        <v>0</v>
      </c>
      <c r="Q36" s="290"/>
      <c r="R36" s="291"/>
      <c r="S36" s="291"/>
      <c r="T36" s="291"/>
      <c r="U36" s="291"/>
      <c r="V36" s="291"/>
    </row>
    <row r="37" spans="1:22" ht="13.2" x14ac:dyDescent="0.2">
      <c r="A37" s="110">
        <v>7</v>
      </c>
      <c r="B37" s="106" t="s">
        <v>60</v>
      </c>
      <c r="C37" s="100" t="s">
        <v>112</v>
      </c>
      <c r="D37" s="106" t="s">
        <v>73</v>
      </c>
      <c r="E37" s="112">
        <f>E34</f>
        <v>70.7</v>
      </c>
      <c r="F37" s="120"/>
      <c r="G37" s="121"/>
      <c r="H37" s="122">
        <f t="shared" si="25"/>
        <v>0</v>
      </c>
      <c r="I37" s="121"/>
      <c r="J37" s="121"/>
      <c r="K37" s="179">
        <f t="shared" si="19"/>
        <v>0</v>
      </c>
      <c r="L37" s="184">
        <f t="shared" si="20"/>
        <v>0</v>
      </c>
      <c r="M37" s="121">
        <f t="shared" si="21"/>
        <v>0</v>
      </c>
      <c r="N37" s="121">
        <f t="shared" si="22"/>
        <v>0</v>
      </c>
      <c r="O37" s="121">
        <f t="shared" si="23"/>
        <v>0</v>
      </c>
      <c r="P37" s="123">
        <f t="shared" si="24"/>
        <v>0</v>
      </c>
      <c r="Q37" s="290"/>
      <c r="R37" s="291"/>
      <c r="S37" s="291"/>
      <c r="T37" s="291"/>
      <c r="U37" s="291"/>
      <c r="V37" s="291"/>
    </row>
    <row r="38" spans="1:22" ht="13.2" x14ac:dyDescent="0.2">
      <c r="A38" s="110">
        <v>8</v>
      </c>
      <c r="B38" s="106"/>
      <c r="C38" s="99" t="s">
        <v>98</v>
      </c>
      <c r="D38" s="106" t="s">
        <v>96</v>
      </c>
      <c r="E38" s="112">
        <f>E37*0.12</f>
        <v>8.484</v>
      </c>
      <c r="F38" s="120"/>
      <c r="G38" s="121"/>
      <c r="H38" s="122"/>
      <c r="I38" s="121"/>
      <c r="J38" s="121"/>
      <c r="K38" s="179">
        <f t="shared" si="19"/>
        <v>0</v>
      </c>
      <c r="L38" s="184">
        <f t="shared" si="20"/>
        <v>0</v>
      </c>
      <c r="M38" s="121">
        <f t="shared" si="21"/>
        <v>0</v>
      </c>
      <c r="N38" s="121">
        <f t="shared" si="22"/>
        <v>0</v>
      </c>
      <c r="O38" s="121">
        <f t="shared" si="23"/>
        <v>0</v>
      </c>
      <c r="P38" s="123">
        <f t="shared" si="24"/>
        <v>0</v>
      </c>
      <c r="Q38" s="290"/>
      <c r="R38" s="291"/>
      <c r="S38" s="291"/>
      <c r="T38" s="291"/>
      <c r="U38" s="291"/>
      <c r="V38" s="291"/>
    </row>
    <row r="39" spans="1:22" ht="13.2" x14ac:dyDescent="0.2">
      <c r="A39" s="110">
        <v>9</v>
      </c>
      <c r="B39" s="106"/>
      <c r="C39" s="99" t="s">
        <v>290</v>
      </c>
      <c r="D39" s="106" t="s">
        <v>99</v>
      </c>
      <c r="E39" s="152">
        <f>E37*4.5</f>
        <v>318.15000000000003</v>
      </c>
      <c r="F39" s="120"/>
      <c r="G39" s="121"/>
      <c r="H39" s="122"/>
      <c r="I39" s="121"/>
      <c r="J39" s="121"/>
      <c r="K39" s="179">
        <f t="shared" si="19"/>
        <v>0</v>
      </c>
      <c r="L39" s="184">
        <f t="shared" si="20"/>
        <v>0</v>
      </c>
      <c r="M39" s="121">
        <f t="shared" si="21"/>
        <v>0</v>
      </c>
      <c r="N39" s="121">
        <f t="shared" si="22"/>
        <v>0</v>
      </c>
      <c r="O39" s="121">
        <f t="shared" si="23"/>
        <v>0</v>
      </c>
      <c r="P39" s="123">
        <f t="shared" si="24"/>
        <v>0</v>
      </c>
      <c r="Q39" s="290"/>
      <c r="R39" s="291"/>
      <c r="S39" s="291"/>
      <c r="T39" s="291"/>
      <c r="U39" s="291"/>
      <c r="V39" s="291"/>
    </row>
    <row r="40" spans="1:22" ht="13.2" x14ac:dyDescent="0.2">
      <c r="A40" s="110">
        <v>10</v>
      </c>
      <c r="B40" s="106"/>
      <c r="C40" s="99" t="s">
        <v>101</v>
      </c>
      <c r="D40" s="106" t="s">
        <v>73</v>
      </c>
      <c r="E40" s="112">
        <f>E37*1.2</f>
        <v>84.84</v>
      </c>
      <c r="F40" s="120"/>
      <c r="G40" s="121"/>
      <c r="H40" s="122"/>
      <c r="I40" s="121"/>
      <c r="J40" s="121"/>
      <c r="K40" s="179">
        <f t="shared" si="19"/>
        <v>0</v>
      </c>
      <c r="L40" s="184">
        <f t="shared" si="20"/>
        <v>0</v>
      </c>
      <c r="M40" s="121">
        <f t="shared" si="21"/>
        <v>0</v>
      </c>
      <c r="N40" s="121">
        <f t="shared" si="22"/>
        <v>0</v>
      </c>
      <c r="O40" s="121">
        <f t="shared" si="23"/>
        <v>0</v>
      </c>
      <c r="P40" s="123">
        <f t="shared" si="24"/>
        <v>0</v>
      </c>
      <c r="Q40" s="290"/>
      <c r="R40" s="291"/>
      <c r="S40" s="291"/>
      <c r="T40" s="291"/>
      <c r="U40" s="291"/>
      <c r="V40" s="291"/>
    </row>
    <row r="41" spans="1:22" ht="13.2" x14ac:dyDescent="0.2">
      <c r="A41" s="110">
        <v>11</v>
      </c>
      <c r="B41" s="106"/>
      <c r="C41" s="99" t="s">
        <v>560</v>
      </c>
      <c r="D41" s="106" t="s">
        <v>73</v>
      </c>
      <c r="E41" s="112">
        <f>E37</f>
        <v>70.7</v>
      </c>
      <c r="F41" s="120"/>
      <c r="G41" s="121"/>
      <c r="H41" s="122"/>
      <c r="I41" s="121"/>
      <c r="J41" s="121"/>
      <c r="K41" s="179">
        <f t="shared" si="19"/>
        <v>0</v>
      </c>
      <c r="L41" s="184">
        <f t="shared" si="20"/>
        <v>0</v>
      </c>
      <c r="M41" s="121">
        <f t="shared" si="21"/>
        <v>0</v>
      </c>
      <c r="N41" s="121">
        <f t="shared" si="22"/>
        <v>0</v>
      </c>
      <c r="O41" s="121">
        <f t="shared" si="23"/>
        <v>0</v>
      </c>
      <c r="P41" s="123">
        <f t="shared" si="24"/>
        <v>0</v>
      </c>
      <c r="Q41" s="290"/>
      <c r="R41" s="291"/>
      <c r="S41" s="291"/>
      <c r="T41" s="291"/>
      <c r="U41" s="291"/>
      <c r="V41" s="291"/>
    </row>
    <row r="42" spans="1:22" ht="26.4" x14ac:dyDescent="0.2">
      <c r="A42" s="140"/>
      <c r="B42" s="107"/>
      <c r="C42" s="141" t="s">
        <v>561</v>
      </c>
      <c r="D42" s="142"/>
      <c r="E42" s="143"/>
      <c r="F42" s="144"/>
      <c r="G42" s="121"/>
      <c r="H42" s="122"/>
      <c r="I42" s="145"/>
      <c r="J42" s="145"/>
      <c r="K42" s="188"/>
      <c r="L42" s="189"/>
      <c r="M42" s="145"/>
      <c r="N42" s="145"/>
      <c r="O42" s="146"/>
      <c r="P42" s="147"/>
    </row>
    <row r="43" spans="1:22" ht="26.4" x14ac:dyDescent="0.2">
      <c r="A43" s="110">
        <v>1</v>
      </c>
      <c r="B43" s="106" t="s">
        <v>60</v>
      </c>
      <c r="C43" s="100" t="s">
        <v>107</v>
      </c>
      <c r="D43" s="106" t="s">
        <v>73</v>
      </c>
      <c r="E43" s="151">
        <v>39.17</v>
      </c>
      <c r="F43" s="120"/>
      <c r="G43" s="121"/>
      <c r="H43" s="122">
        <f>ROUND(F43*G43,2)</f>
        <v>0</v>
      </c>
      <c r="I43" s="121"/>
      <c r="J43" s="121"/>
      <c r="K43" s="179">
        <f>ROUND(H43+J43+I43,2)</f>
        <v>0</v>
      </c>
      <c r="L43" s="184">
        <f>ROUND(E43*F43,2)</f>
        <v>0</v>
      </c>
      <c r="M43" s="121">
        <f>ROUND(E43*H43,2)</f>
        <v>0</v>
      </c>
      <c r="N43" s="121">
        <f>ROUND(E43*I43,2)</f>
        <v>0</v>
      </c>
      <c r="O43" s="121">
        <f>ROUND(E43*J43,2)</f>
        <v>0</v>
      </c>
      <c r="P43" s="123">
        <f>ROUND(O43+N43+M43,2)</f>
        <v>0</v>
      </c>
      <c r="Q43" s="292"/>
      <c r="R43" s="291"/>
      <c r="S43" s="291"/>
      <c r="T43" s="291"/>
      <c r="U43" s="291"/>
      <c r="V43" s="291"/>
    </row>
    <row r="44" spans="1:22" ht="13.2" x14ac:dyDescent="0.2">
      <c r="A44" s="110">
        <v>2</v>
      </c>
      <c r="B44" s="106"/>
      <c r="C44" s="99" t="s">
        <v>98</v>
      </c>
      <c r="D44" s="106" t="s">
        <v>96</v>
      </c>
      <c r="E44" s="112">
        <f>E43*0.12</f>
        <v>4.7004000000000001</v>
      </c>
      <c r="F44" s="120"/>
      <c r="G44" s="121"/>
      <c r="H44" s="122"/>
      <c r="I44" s="121"/>
      <c r="J44" s="121"/>
      <c r="K44" s="179">
        <f t="shared" ref="K44:K45" si="32">ROUND(H44+J44+I44,2)</f>
        <v>0</v>
      </c>
      <c r="L44" s="184">
        <f t="shared" ref="L44:L45" si="33">ROUND(E44*F44,2)</f>
        <v>0</v>
      </c>
      <c r="M44" s="121">
        <f t="shared" ref="M44:M45" si="34">ROUND(E44*H44,2)</f>
        <v>0</v>
      </c>
      <c r="N44" s="121">
        <f t="shared" ref="N44:N45" si="35">ROUND(E44*I44,2)</f>
        <v>0</v>
      </c>
      <c r="O44" s="121">
        <f t="shared" ref="O44:O45" si="36">ROUND(E44*J44,2)</f>
        <v>0</v>
      </c>
      <c r="P44" s="123">
        <f t="shared" ref="P44:P45" si="37">ROUND(O44+N44+M44,2)</f>
        <v>0</v>
      </c>
      <c r="Q44" s="290"/>
      <c r="R44" s="291"/>
      <c r="S44" s="291"/>
      <c r="T44" s="291"/>
      <c r="U44" s="291"/>
      <c r="V44" s="291"/>
    </row>
    <row r="45" spans="1:22" ht="26.4" x14ac:dyDescent="0.2">
      <c r="A45" s="110">
        <v>3</v>
      </c>
      <c r="B45" s="106"/>
      <c r="C45" s="99" t="s">
        <v>108</v>
      </c>
      <c r="D45" s="106" t="s">
        <v>109</v>
      </c>
      <c r="E45" s="152">
        <f>E43*5</f>
        <v>195.85000000000002</v>
      </c>
      <c r="F45" s="120"/>
      <c r="G45" s="121"/>
      <c r="H45" s="122"/>
      <c r="I45" s="121"/>
      <c r="J45" s="121"/>
      <c r="K45" s="179">
        <f t="shared" si="32"/>
        <v>0</v>
      </c>
      <c r="L45" s="184">
        <f t="shared" si="33"/>
        <v>0</v>
      </c>
      <c r="M45" s="121">
        <f t="shared" si="34"/>
        <v>0</v>
      </c>
      <c r="N45" s="121">
        <f t="shared" si="35"/>
        <v>0</v>
      </c>
      <c r="O45" s="121">
        <f t="shared" si="36"/>
        <v>0</v>
      </c>
      <c r="P45" s="123">
        <f t="shared" si="37"/>
        <v>0</v>
      </c>
      <c r="Q45" s="290"/>
      <c r="R45" s="291"/>
      <c r="S45" s="291"/>
      <c r="T45" s="291"/>
      <c r="U45" s="291"/>
      <c r="V45" s="291"/>
    </row>
    <row r="46" spans="1:22" ht="13.2" x14ac:dyDescent="0.2">
      <c r="A46" s="110">
        <v>4</v>
      </c>
      <c r="B46" s="106" t="s">
        <v>60</v>
      </c>
      <c r="C46" s="100" t="s">
        <v>102</v>
      </c>
      <c r="D46" s="106" t="s">
        <v>73</v>
      </c>
      <c r="E46" s="112">
        <f>E43</f>
        <v>39.17</v>
      </c>
      <c r="F46" s="120"/>
      <c r="G46" s="121"/>
      <c r="H46" s="122">
        <f t="shared" ref="H46" si="38">ROUND(F46*G46,2)</f>
        <v>0</v>
      </c>
      <c r="I46" s="121"/>
      <c r="J46" s="121"/>
      <c r="K46" s="179">
        <f>ROUND(H46+J46+I46,2)</f>
        <v>0</v>
      </c>
      <c r="L46" s="184">
        <f>ROUND(E46*F46,2)</f>
        <v>0</v>
      </c>
      <c r="M46" s="121">
        <f>ROUND(E46*H46,2)</f>
        <v>0</v>
      </c>
      <c r="N46" s="121">
        <f>ROUND(E46*I46,2)</f>
        <v>0</v>
      </c>
      <c r="O46" s="121">
        <f>ROUND(E46*J46,2)</f>
        <v>0</v>
      </c>
      <c r="P46" s="123">
        <f>ROUND(O46+N46+M46,2)</f>
        <v>0</v>
      </c>
      <c r="Q46" s="290"/>
      <c r="R46" s="291"/>
      <c r="S46" s="291"/>
      <c r="T46" s="291"/>
      <c r="U46" s="291"/>
      <c r="V46" s="291"/>
    </row>
    <row r="47" spans="1:22" ht="13.2" x14ac:dyDescent="0.2">
      <c r="A47" s="110">
        <v>5</v>
      </c>
      <c r="B47" s="106"/>
      <c r="C47" s="99" t="s">
        <v>515</v>
      </c>
      <c r="D47" s="106" t="s">
        <v>99</v>
      </c>
      <c r="E47" s="152">
        <f>E46*5</f>
        <v>195.85000000000002</v>
      </c>
      <c r="F47" s="120"/>
      <c r="G47" s="121"/>
      <c r="H47" s="122"/>
      <c r="I47" s="121"/>
      <c r="J47" s="121"/>
      <c r="K47" s="179">
        <f t="shared" ref="K47:K55" si="39">ROUND(H47+J47+I47,2)</f>
        <v>0</v>
      </c>
      <c r="L47" s="184">
        <f t="shared" ref="L47:L55" si="40">ROUND(E47*F47,2)</f>
        <v>0</v>
      </c>
      <c r="M47" s="121">
        <f t="shared" ref="M47:M55" si="41">ROUND(E47*H47,2)</f>
        <v>0</v>
      </c>
      <c r="N47" s="121">
        <f t="shared" ref="N47:N55" si="42">ROUND(E47*I47,2)</f>
        <v>0</v>
      </c>
      <c r="O47" s="121">
        <f t="shared" ref="O47:O55" si="43">ROUND(E47*J47,2)</f>
        <v>0</v>
      </c>
      <c r="P47" s="123">
        <f t="shared" ref="P47:P55" si="44">ROUND(O47+N47+M47,2)</f>
        <v>0</v>
      </c>
      <c r="Q47" s="290"/>
      <c r="R47" s="291"/>
      <c r="S47" s="291"/>
      <c r="T47" s="291"/>
      <c r="U47" s="291"/>
      <c r="V47" s="291"/>
    </row>
    <row r="48" spans="1:22" ht="13.2" x14ac:dyDescent="0.2">
      <c r="A48" s="110">
        <v>6</v>
      </c>
      <c r="B48" s="106"/>
      <c r="C48" s="99" t="s">
        <v>513</v>
      </c>
      <c r="D48" s="106" t="s">
        <v>64</v>
      </c>
      <c r="E48" s="152">
        <f>ROUND(E43*8.15,0)</f>
        <v>319</v>
      </c>
      <c r="F48" s="120"/>
      <c r="G48" s="121"/>
      <c r="H48" s="122"/>
      <c r="I48" s="121"/>
      <c r="J48" s="121"/>
      <c r="K48" s="179">
        <f t="shared" si="39"/>
        <v>0</v>
      </c>
      <c r="L48" s="184">
        <f t="shared" si="40"/>
        <v>0</v>
      </c>
      <c r="M48" s="121">
        <f t="shared" si="41"/>
        <v>0</v>
      </c>
      <c r="N48" s="121">
        <f t="shared" si="42"/>
        <v>0</v>
      </c>
      <c r="O48" s="121">
        <f t="shared" si="43"/>
        <v>0</v>
      </c>
      <c r="P48" s="123">
        <f t="shared" si="44"/>
        <v>0</v>
      </c>
      <c r="Q48" s="290"/>
      <c r="R48" s="291"/>
      <c r="S48" s="291"/>
      <c r="T48" s="291"/>
      <c r="U48" s="291"/>
      <c r="V48" s="291"/>
    </row>
    <row r="49" spans="1:22" ht="13.2" x14ac:dyDescent="0.2">
      <c r="A49" s="110">
        <v>7</v>
      </c>
      <c r="B49" s="106"/>
      <c r="C49" s="99" t="s">
        <v>110</v>
      </c>
      <c r="D49" s="106" t="s">
        <v>64</v>
      </c>
      <c r="E49" s="112">
        <f>E48</f>
        <v>319</v>
      </c>
      <c r="F49" s="120"/>
      <c r="G49" s="121"/>
      <c r="H49" s="122"/>
      <c r="I49" s="121"/>
      <c r="J49" s="121"/>
      <c r="K49" s="179">
        <f t="shared" si="39"/>
        <v>0</v>
      </c>
      <c r="L49" s="184">
        <f t="shared" si="40"/>
        <v>0</v>
      </c>
      <c r="M49" s="121">
        <f t="shared" si="41"/>
        <v>0</v>
      </c>
      <c r="N49" s="121">
        <f t="shared" si="42"/>
        <v>0</v>
      </c>
      <c r="O49" s="121">
        <f t="shared" si="43"/>
        <v>0</v>
      </c>
      <c r="P49" s="123">
        <f t="shared" si="44"/>
        <v>0</v>
      </c>
      <c r="Q49" s="290"/>
      <c r="R49" s="291"/>
      <c r="S49" s="291"/>
      <c r="T49" s="291"/>
      <c r="U49" s="291"/>
      <c r="V49" s="291"/>
    </row>
    <row r="50" spans="1:22" ht="39.6" x14ac:dyDescent="0.2">
      <c r="A50" s="110">
        <v>8</v>
      </c>
      <c r="B50" s="106"/>
      <c r="C50" s="99" t="s">
        <v>577</v>
      </c>
      <c r="D50" s="106" t="s">
        <v>73</v>
      </c>
      <c r="E50" s="112">
        <f>E43*1.05</f>
        <v>41.128500000000003</v>
      </c>
      <c r="F50" s="120"/>
      <c r="G50" s="121"/>
      <c r="H50" s="122"/>
      <c r="I50" s="121"/>
      <c r="J50" s="121"/>
      <c r="K50" s="179">
        <f t="shared" si="39"/>
        <v>0</v>
      </c>
      <c r="L50" s="184">
        <f t="shared" si="40"/>
        <v>0</v>
      </c>
      <c r="M50" s="121">
        <f t="shared" si="41"/>
        <v>0</v>
      </c>
      <c r="N50" s="121">
        <f t="shared" si="42"/>
        <v>0</v>
      </c>
      <c r="O50" s="121">
        <f t="shared" si="43"/>
        <v>0</v>
      </c>
      <c r="P50" s="123">
        <f t="shared" si="44"/>
        <v>0</v>
      </c>
      <c r="Q50" s="290"/>
      <c r="R50" s="291"/>
      <c r="S50" s="291"/>
      <c r="T50" s="291"/>
      <c r="U50" s="291"/>
      <c r="V50" s="291"/>
    </row>
    <row r="51" spans="1:22" ht="13.2" x14ac:dyDescent="0.2">
      <c r="A51" s="110">
        <v>9</v>
      </c>
      <c r="B51" s="106" t="s">
        <v>60</v>
      </c>
      <c r="C51" s="100" t="s">
        <v>112</v>
      </c>
      <c r="D51" s="106" t="s">
        <v>73</v>
      </c>
      <c r="E51" s="112">
        <f>E46</f>
        <v>39.17</v>
      </c>
      <c r="F51" s="120"/>
      <c r="G51" s="121"/>
      <c r="H51" s="122">
        <f t="shared" ref="H51" si="45">ROUND(F51*G51,2)</f>
        <v>0</v>
      </c>
      <c r="I51" s="121"/>
      <c r="J51" s="121"/>
      <c r="K51" s="179">
        <f t="shared" si="39"/>
        <v>0</v>
      </c>
      <c r="L51" s="184">
        <f t="shared" si="40"/>
        <v>0</v>
      </c>
      <c r="M51" s="121">
        <f t="shared" si="41"/>
        <v>0</v>
      </c>
      <c r="N51" s="121">
        <f t="shared" si="42"/>
        <v>0</v>
      </c>
      <c r="O51" s="121">
        <f t="shared" si="43"/>
        <v>0</v>
      </c>
      <c r="P51" s="123">
        <f t="shared" si="44"/>
        <v>0</v>
      </c>
      <c r="Q51" s="290"/>
      <c r="R51" s="291"/>
      <c r="S51" s="291"/>
      <c r="T51" s="291"/>
      <c r="U51" s="291"/>
      <c r="V51" s="291"/>
    </row>
    <row r="52" spans="1:22" ht="13.2" x14ac:dyDescent="0.2">
      <c r="A52" s="110">
        <v>10</v>
      </c>
      <c r="B52" s="106"/>
      <c r="C52" s="99" t="s">
        <v>113</v>
      </c>
      <c r="D52" s="106" t="s">
        <v>96</v>
      </c>
      <c r="E52" s="112">
        <f>E51*0.12</f>
        <v>4.7004000000000001</v>
      </c>
      <c r="F52" s="120"/>
      <c r="G52" s="121"/>
      <c r="H52" s="122"/>
      <c r="I52" s="121"/>
      <c r="J52" s="121"/>
      <c r="K52" s="179">
        <f t="shared" si="39"/>
        <v>0</v>
      </c>
      <c r="L52" s="184">
        <f t="shared" si="40"/>
        <v>0</v>
      </c>
      <c r="M52" s="121">
        <f t="shared" si="41"/>
        <v>0</v>
      </c>
      <c r="N52" s="121">
        <f t="shared" si="42"/>
        <v>0</v>
      </c>
      <c r="O52" s="121">
        <f t="shared" si="43"/>
        <v>0</v>
      </c>
      <c r="P52" s="123">
        <f t="shared" si="44"/>
        <v>0</v>
      </c>
      <c r="Q52" s="290"/>
      <c r="R52" s="291"/>
      <c r="S52" s="291"/>
      <c r="T52" s="291"/>
      <c r="U52" s="291"/>
      <c r="V52" s="291"/>
    </row>
    <row r="53" spans="1:22" ht="13.2" x14ac:dyDescent="0.2">
      <c r="A53" s="110">
        <v>11</v>
      </c>
      <c r="B53" s="106"/>
      <c r="C53" s="99" t="s">
        <v>290</v>
      </c>
      <c r="D53" s="106" t="s">
        <v>99</v>
      </c>
      <c r="E53" s="152">
        <f>E51*4.5</f>
        <v>176.26500000000001</v>
      </c>
      <c r="F53" s="120"/>
      <c r="G53" s="121"/>
      <c r="H53" s="122"/>
      <c r="I53" s="121"/>
      <c r="J53" s="121"/>
      <c r="K53" s="179">
        <f t="shared" si="39"/>
        <v>0</v>
      </c>
      <c r="L53" s="184">
        <f t="shared" si="40"/>
        <v>0</v>
      </c>
      <c r="M53" s="121">
        <f t="shared" si="41"/>
        <v>0</v>
      </c>
      <c r="N53" s="121">
        <f t="shared" si="42"/>
        <v>0</v>
      </c>
      <c r="O53" s="121">
        <f t="shared" si="43"/>
        <v>0</v>
      </c>
      <c r="P53" s="123">
        <f t="shared" si="44"/>
        <v>0</v>
      </c>
      <c r="Q53" s="290"/>
      <c r="R53" s="291"/>
      <c r="S53" s="291"/>
      <c r="T53" s="291"/>
      <c r="U53" s="291"/>
      <c r="V53" s="291"/>
    </row>
    <row r="54" spans="1:22" ht="13.2" x14ac:dyDescent="0.2">
      <c r="A54" s="110">
        <v>12</v>
      </c>
      <c r="B54" s="106"/>
      <c r="C54" s="99" t="s">
        <v>101</v>
      </c>
      <c r="D54" s="106" t="s">
        <v>73</v>
      </c>
      <c r="E54" s="112">
        <f>E51*1.2</f>
        <v>47.003999999999998</v>
      </c>
      <c r="F54" s="120"/>
      <c r="G54" s="121"/>
      <c r="H54" s="122"/>
      <c r="I54" s="121"/>
      <c r="J54" s="121"/>
      <c r="K54" s="179">
        <f t="shared" si="39"/>
        <v>0</v>
      </c>
      <c r="L54" s="184">
        <f t="shared" si="40"/>
        <v>0</v>
      </c>
      <c r="M54" s="121">
        <f t="shared" si="41"/>
        <v>0</v>
      </c>
      <c r="N54" s="121">
        <f t="shared" si="42"/>
        <v>0</v>
      </c>
      <c r="O54" s="121">
        <f t="shared" si="43"/>
        <v>0</v>
      </c>
      <c r="P54" s="123">
        <f t="shared" si="44"/>
        <v>0</v>
      </c>
      <c r="Q54" s="290"/>
      <c r="R54" s="291"/>
      <c r="S54" s="291"/>
      <c r="T54" s="291"/>
      <c r="U54" s="291"/>
      <c r="V54" s="291"/>
    </row>
    <row r="55" spans="1:22" ht="13.2" x14ac:dyDescent="0.2">
      <c r="A55" s="110">
        <v>13</v>
      </c>
      <c r="B55" s="106"/>
      <c r="C55" s="99" t="s">
        <v>560</v>
      </c>
      <c r="D55" s="106" t="s">
        <v>73</v>
      </c>
      <c r="E55" s="112">
        <f>E51</f>
        <v>39.17</v>
      </c>
      <c r="F55" s="120"/>
      <c r="G55" s="121"/>
      <c r="H55" s="122"/>
      <c r="I55" s="121"/>
      <c r="J55" s="121"/>
      <c r="K55" s="179">
        <f t="shared" si="39"/>
        <v>0</v>
      </c>
      <c r="L55" s="184">
        <f t="shared" si="40"/>
        <v>0</v>
      </c>
      <c r="M55" s="121">
        <f t="shared" si="41"/>
        <v>0</v>
      </c>
      <c r="N55" s="121">
        <f t="shared" si="42"/>
        <v>0</v>
      </c>
      <c r="O55" s="121">
        <f t="shared" si="43"/>
        <v>0</v>
      </c>
      <c r="P55" s="123">
        <f t="shared" si="44"/>
        <v>0</v>
      </c>
      <c r="Q55" s="290"/>
      <c r="R55" s="291"/>
      <c r="S55" s="291"/>
      <c r="T55" s="291"/>
      <c r="U55" s="291"/>
      <c r="V55" s="291"/>
    </row>
    <row r="56" spans="1:22" ht="13.2" x14ac:dyDescent="0.2">
      <c r="A56" s="140"/>
      <c r="B56" s="107"/>
      <c r="C56" s="141" t="s">
        <v>562</v>
      </c>
      <c r="D56" s="142"/>
      <c r="E56" s="143"/>
      <c r="F56" s="144"/>
      <c r="G56" s="121"/>
      <c r="H56" s="122"/>
      <c r="I56" s="145"/>
      <c r="J56" s="145"/>
      <c r="K56" s="188"/>
      <c r="L56" s="189"/>
      <c r="M56" s="145"/>
      <c r="N56" s="145"/>
      <c r="O56" s="146"/>
      <c r="P56" s="147"/>
    </row>
    <row r="57" spans="1:22" ht="26.4" x14ac:dyDescent="0.2">
      <c r="A57" s="110">
        <v>1</v>
      </c>
      <c r="B57" s="106" t="s">
        <v>60</v>
      </c>
      <c r="C57" s="111" t="s">
        <v>563</v>
      </c>
      <c r="D57" s="106" t="s">
        <v>62</v>
      </c>
      <c r="E57" s="154">
        <f>16.5</f>
        <v>16.5</v>
      </c>
      <c r="F57" s="120"/>
      <c r="G57" s="121"/>
      <c r="H57" s="122">
        <f t="shared" ref="H57" si="46">ROUND(F57*G57,2)</f>
        <v>0</v>
      </c>
      <c r="I57" s="121"/>
      <c r="J57" s="121"/>
      <c r="K57" s="179">
        <f>ROUND(H57+J57+I57,2)</f>
        <v>0</v>
      </c>
      <c r="L57" s="184">
        <f>ROUND(E57*F57,2)</f>
        <v>0</v>
      </c>
      <c r="M57" s="121">
        <f>ROUND(E57*H57,2)</f>
        <v>0</v>
      </c>
      <c r="N57" s="121">
        <f>ROUND(E57*I57,2)</f>
        <v>0</v>
      </c>
      <c r="O57" s="121">
        <f>ROUND(E57*J57,2)</f>
        <v>0</v>
      </c>
      <c r="P57" s="123">
        <f>ROUND(O57+N57+M57,2)</f>
        <v>0</v>
      </c>
    </row>
    <row r="58" spans="1:22" ht="13.2" x14ac:dyDescent="0.2">
      <c r="A58" s="110">
        <v>2</v>
      </c>
      <c r="B58" s="106"/>
      <c r="C58" s="99" t="s">
        <v>564</v>
      </c>
      <c r="D58" s="106" t="s">
        <v>89</v>
      </c>
      <c r="E58" s="112">
        <f>E57*0.021*1.15</f>
        <v>0.39847500000000002</v>
      </c>
      <c r="F58" s="120"/>
      <c r="G58" s="121"/>
      <c r="H58" s="122"/>
      <c r="I58" s="121"/>
      <c r="J58" s="121"/>
      <c r="K58" s="179">
        <f>ROUND(H58+J58+I58,2)</f>
        <v>0</v>
      </c>
      <c r="L58" s="184">
        <f>ROUND(E58*F58,2)</f>
        <v>0</v>
      </c>
      <c r="M58" s="121">
        <f>ROUND(E58*H58,2)</f>
        <v>0</v>
      </c>
      <c r="N58" s="121">
        <f>ROUND(E58*I58,2)</f>
        <v>0</v>
      </c>
      <c r="O58" s="121">
        <f>ROUND(E58*J58,2)</f>
        <v>0</v>
      </c>
      <c r="P58" s="123">
        <f>ROUND(O58+N58+M58,2)</f>
        <v>0</v>
      </c>
    </row>
    <row r="59" spans="1:22" ht="13.2" x14ac:dyDescent="0.2">
      <c r="A59" s="110">
        <v>3</v>
      </c>
      <c r="B59" s="106"/>
      <c r="C59" s="99" t="s">
        <v>565</v>
      </c>
      <c r="D59" s="106" t="s">
        <v>89</v>
      </c>
      <c r="E59" s="155">
        <f>E57*0.021*1.15/5</f>
        <v>7.9695000000000002E-2</v>
      </c>
      <c r="F59" s="120"/>
      <c r="G59" s="121"/>
      <c r="H59" s="122"/>
      <c r="I59" s="121"/>
      <c r="J59" s="121"/>
      <c r="K59" s="179">
        <f>ROUND(H59+J59+I59,2)</f>
        <v>0</v>
      </c>
      <c r="L59" s="184">
        <f>ROUND(E59*F59,2)</f>
        <v>0</v>
      </c>
      <c r="M59" s="121">
        <f>ROUND(E59*H59,2)</f>
        <v>0</v>
      </c>
      <c r="N59" s="121">
        <f>ROUND(E59*I59,2)</f>
        <v>0</v>
      </c>
      <c r="O59" s="121">
        <f>ROUND(E59*J59,2)</f>
        <v>0</v>
      </c>
      <c r="P59" s="123">
        <f>ROUND(O59+N59+M59,2)</f>
        <v>0</v>
      </c>
    </row>
    <row r="60" spans="1:22" ht="13.2" x14ac:dyDescent="0.2">
      <c r="A60" s="110">
        <v>4</v>
      </c>
      <c r="B60" s="106"/>
      <c r="C60" s="99" t="s">
        <v>566</v>
      </c>
      <c r="D60" s="106" t="s">
        <v>73</v>
      </c>
      <c r="E60" s="154">
        <f>E57*1.1*1.13</f>
        <v>20.509499999999999</v>
      </c>
      <c r="F60" s="120"/>
      <c r="G60" s="121"/>
      <c r="H60" s="122"/>
      <c r="I60" s="121"/>
      <c r="J60" s="121"/>
      <c r="K60" s="179">
        <f>ROUND(H60+J60+I60,2)</f>
        <v>0</v>
      </c>
      <c r="L60" s="184">
        <f>ROUND(E60*F60,2)</f>
        <v>0</v>
      </c>
      <c r="M60" s="121">
        <f>ROUND(E60*H60,2)</f>
        <v>0</v>
      </c>
      <c r="N60" s="121">
        <f>ROUND(E60*I60,2)</f>
        <v>0</v>
      </c>
      <c r="O60" s="121">
        <f>ROUND(E60*J60,2)</f>
        <v>0</v>
      </c>
      <c r="P60" s="123">
        <f>ROUND(O60+N60+M60,2)</f>
        <v>0</v>
      </c>
    </row>
    <row r="61" spans="1:22" ht="13.2" x14ac:dyDescent="0.2">
      <c r="A61" s="110">
        <v>5</v>
      </c>
      <c r="B61" s="106"/>
      <c r="C61" s="99" t="s">
        <v>567</v>
      </c>
      <c r="D61" s="106" t="s">
        <v>64</v>
      </c>
      <c r="E61" s="112">
        <f>ROUND(E57*40+E58*400+E59*400,0)</f>
        <v>851</v>
      </c>
      <c r="F61" s="120"/>
      <c r="G61" s="121"/>
      <c r="H61" s="122"/>
      <c r="I61" s="121"/>
      <c r="J61" s="121"/>
      <c r="K61" s="179">
        <f t="shared" ref="K61" si="47">ROUND(H61+J61+I61,2)</f>
        <v>0</v>
      </c>
      <c r="L61" s="184">
        <f t="shared" ref="L61" si="48">ROUND(E61*F61,2)</f>
        <v>0</v>
      </c>
      <c r="M61" s="121">
        <f t="shared" ref="M61" si="49">ROUND(E61*H61,2)</f>
        <v>0</v>
      </c>
      <c r="N61" s="121">
        <f t="shared" ref="N61" si="50">ROUND(E61*I61,2)</f>
        <v>0</v>
      </c>
      <c r="O61" s="121">
        <f t="shared" ref="O61" si="51">ROUND(E61*J61,2)</f>
        <v>0</v>
      </c>
      <c r="P61" s="123">
        <f t="shared" ref="P61" si="52">ROUND(O61+N61+M61,2)</f>
        <v>0</v>
      </c>
    </row>
    <row r="62" spans="1:22" ht="13.2" x14ac:dyDescent="0.2">
      <c r="A62" s="110">
        <v>6</v>
      </c>
      <c r="B62" s="106"/>
      <c r="C62" s="99" t="s">
        <v>568</v>
      </c>
      <c r="D62" s="106" t="s">
        <v>73</v>
      </c>
      <c r="E62" s="112">
        <f>E57</f>
        <v>16.5</v>
      </c>
      <c r="F62" s="120"/>
      <c r="G62" s="121"/>
      <c r="H62" s="122"/>
      <c r="I62" s="121"/>
      <c r="J62" s="121"/>
      <c r="K62" s="179">
        <f>ROUND(H62+J62+I62,2)</f>
        <v>0</v>
      </c>
      <c r="L62" s="184">
        <f>ROUND(E62*F62,2)</f>
        <v>0</v>
      </c>
      <c r="M62" s="121">
        <f>ROUND(E62*H62,2)</f>
        <v>0</v>
      </c>
      <c r="N62" s="121">
        <f>ROUND(E62*I62,2)</f>
        <v>0</v>
      </c>
      <c r="O62" s="121">
        <f>ROUND(E62*J62,2)</f>
        <v>0</v>
      </c>
      <c r="P62" s="123">
        <f>ROUND(O62+N62+M62,2)</f>
        <v>0</v>
      </c>
    </row>
    <row r="63" spans="1:22" ht="13.2" x14ac:dyDescent="0.2">
      <c r="A63" s="110">
        <v>7</v>
      </c>
      <c r="B63" s="106" t="s">
        <v>60</v>
      </c>
      <c r="C63" s="111" t="s">
        <v>569</v>
      </c>
      <c r="D63" s="106" t="s">
        <v>62</v>
      </c>
      <c r="E63" s="154">
        <f>1.935+1.286+4.58*2+2.135+2.07+2.65+4.58+2.395+1.3*2+1.7+32.1*2+6.56*2+4.31+1.36+12.77+1.11</f>
        <v>127.381</v>
      </c>
      <c r="F63" s="120"/>
      <c r="G63" s="121"/>
      <c r="H63" s="122">
        <f t="shared" ref="H63" si="53">ROUND(F63*G63,2)</f>
        <v>0</v>
      </c>
      <c r="I63" s="121"/>
      <c r="J63" s="121"/>
      <c r="K63" s="179">
        <f t="shared" ref="K63" si="54">ROUND(H63+J63+I63,2)</f>
        <v>0</v>
      </c>
      <c r="L63" s="184">
        <f t="shared" ref="L63" si="55">ROUND(E63*F63,2)</f>
        <v>0</v>
      </c>
      <c r="M63" s="121">
        <f t="shared" ref="M63" si="56">ROUND(E63*H63,2)</f>
        <v>0</v>
      </c>
      <c r="N63" s="121">
        <f t="shared" ref="N63" si="57">ROUND(E63*I63,2)</f>
        <v>0</v>
      </c>
      <c r="O63" s="121">
        <f t="shared" ref="O63" si="58">ROUND(E63*J63,2)</f>
        <v>0</v>
      </c>
      <c r="P63" s="123">
        <f t="shared" ref="P63" si="59">ROUND(O63+N63+M63,2)</f>
        <v>0</v>
      </c>
    </row>
    <row r="64" spans="1:22" ht="13.2" x14ac:dyDescent="0.2">
      <c r="A64" s="110">
        <v>8</v>
      </c>
      <c r="B64" s="106"/>
      <c r="C64" s="99" t="s">
        <v>564</v>
      </c>
      <c r="D64" s="106" t="s">
        <v>89</v>
      </c>
      <c r="E64" s="155">
        <f>E63*0.021*1.15</f>
        <v>3.0762511499999996</v>
      </c>
      <c r="F64" s="120"/>
      <c r="G64" s="121"/>
      <c r="H64" s="122"/>
      <c r="I64" s="121"/>
      <c r="J64" s="121"/>
      <c r="K64" s="179">
        <f>ROUND(H64+J64+I64,2)</f>
        <v>0</v>
      </c>
      <c r="L64" s="184">
        <f>ROUND(E64*F64,2)</f>
        <v>0</v>
      </c>
      <c r="M64" s="121">
        <f>ROUND(E64*H64,2)</f>
        <v>0</v>
      </c>
      <c r="N64" s="121">
        <f>ROUND(E64*I64,2)</f>
        <v>0</v>
      </c>
      <c r="O64" s="121">
        <f>ROUND(E64*J64,2)</f>
        <v>0</v>
      </c>
      <c r="P64" s="123">
        <f>ROUND(O64+N64+M64,2)</f>
        <v>0</v>
      </c>
    </row>
    <row r="65" spans="1:16" ht="13.2" x14ac:dyDescent="0.2">
      <c r="A65" s="110">
        <v>9</v>
      </c>
      <c r="B65" s="106"/>
      <c r="C65" s="99" t="s">
        <v>565</v>
      </c>
      <c r="D65" s="106" t="s">
        <v>89</v>
      </c>
      <c r="E65" s="155">
        <f>E63*0.021*1.15/4</f>
        <v>0.7690627874999999</v>
      </c>
      <c r="F65" s="120"/>
      <c r="G65" s="121"/>
      <c r="H65" s="122"/>
      <c r="I65" s="121"/>
      <c r="J65" s="121"/>
      <c r="K65" s="179">
        <f t="shared" ref="K65:K67" si="60">ROUND(H65+J65+I65,2)</f>
        <v>0</v>
      </c>
      <c r="L65" s="184">
        <f t="shared" ref="L65:L67" si="61">ROUND(E65*F65,2)</f>
        <v>0</v>
      </c>
      <c r="M65" s="121">
        <f t="shared" ref="M65:M67" si="62">ROUND(E65*H65,2)</f>
        <v>0</v>
      </c>
      <c r="N65" s="121">
        <f t="shared" ref="N65:N67" si="63">ROUND(E65*I65,2)</f>
        <v>0</v>
      </c>
      <c r="O65" s="121">
        <f t="shared" ref="O65:O67" si="64">ROUND(E65*J65,2)</f>
        <v>0</v>
      </c>
      <c r="P65" s="123">
        <f t="shared" ref="P65:P67" si="65">ROUND(O65+N65+M65,2)</f>
        <v>0</v>
      </c>
    </row>
    <row r="66" spans="1:16" ht="13.2" x14ac:dyDescent="0.2">
      <c r="A66" s="110">
        <v>10</v>
      </c>
      <c r="B66" s="106"/>
      <c r="C66" s="99" t="s">
        <v>566</v>
      </c>
      <c r="D66" s="106" t="s">
        <v>73</v>
      </c>
      <c r="E66" s="154">
        <f>E63*1.1*1.2</f>
        <v>168.14292</v>
      </c>
      <c r="F66" s="120"/>
      <c r="G66" s="121"/>
      <c r="H66" s="122"/>
      <c r="I66" s="121"/>
      <c r="J66" s="121"/>
      <c r="K66" s="179">
        <f t="shared" si="60"/>
        <v>0</v>
      </c>
      <c r="L66" s="184">
        <f t="shared" si="61"/>
        <v>0</v>
      </c>
      <c r="M66" s="121">
        <f t="shared" si="62"/>
        <v>0</v>
      </c>
      <c r="N66" s="121">
        <f t="shared" si="63"/>
        <v>0</v>
      </c>
      <c r="O66" s="121">
        <f t="shared" si="64"/>
        <v>0</v>
      </c>
      <c r="P66" s="123">
        <f t="shared" si="65"/>
        <v>0</v>
      </c>
    </row>
    <row r="67" spans="1:16" ht="13.2" x14ac:dyDescent="0.2">
      <c r="A67" s="110">
        <v>11</v>
      </c>
      <c r="B67" s="106"/>
      <c r="C67" s="99" t="s">
        <v>567</v>
      </c>
      <c r="D67" s="106" t="s">
        <v>64</v>
      </c>
      <c r="E67" s="112">
        <f>ROUND(E63*40*1.2+E64*400+E65*400,0)</f>
        <v>7652</v>
      </c>
      <c r="F67" s="120"/>
      <c r="G67" s="121"/>
      <c r="H67" s="122"/>
      <c r="I67" s="121"/>
      <c r="J67" s="121"/>
      <c r="K67" s="179">
        <f t="shared" si="60"/>
        <v>0</v>
      </c>
      <c r="L67" s="184">
        <f t="shared" si="61"/>
        <v>0</v>
      </c>
      <c r="M67" s="121">
        <f t="shared" si="62"/>
        <v>0</v>
      </c>
      <c r="N67" s="121">
        <f t="shared" si="63"/>
        <v>0</v>
      </c>
      <c r="O67" s="121">
        <f t="shared" si="64"/>
        <v>0</v>
      </c>
      <c r="P67" s="123">
        <f t="shared" si="65"/>
        <v>0</v>
      </c>
    </row>
    <row r="68" spans="1:16" ht="13.2" x14ac:dyDescent="0.2">
      <c r="A68" s="110">
        <v>12</v>
      </c>
      <c r="B68" s="106"/>
      <c r="C68" s="99" t="s">
        <v>568</v>
      </c>
      <c r="D68" s="106" t="s">
        <v>73</v>
      </c>
      <c r="E68" s="112">
        <f>E63*1.2</f>
        <v>152.85720000000001</v>
      </c>
      <c r="F68" s="120"/>
      <c r="G68" s="121"/>
      <c r="H68" s="122"/>
      <c r="I68" s="121"/>
      <c r="J68" s="121"/>
      <c r="K68" s="179">
        <f>ROUND(H68+J68+I68,2)</f>
        <v>0</v>
      </c>
      <c r="L68" s="184">
        <f>ROUND(E68*F68,2)</f>
        <v>0</v>
      </c>
      <c r="M68" s="121">
        <f>ROUND(E68*H68,2)</f>
        <v>0</v>
      </c>
      <c r="N68" s="121">
        <f>ROUND(E68*I68,2)</f>
        <v>0</v>
      </c>
      <c r="O68" s="121">
        <f>ROUND(E68*J68,2)</f>
        <v>0</v>
      </c>
      <c r="P68" s="123">
        <f>ROUND(O68+N68+M68,2)</f>
        <v>0</v>
      </c>
    </row>
    <row r="69" spans="1:16" ht="26.4" x14ac:dyDescent="0.2">
      <c r="A69" s="140"/>
      <c r="B69" s="107"/>
      <c r="C69" s="141" t="s">
        <v>570</v>
      </c>
      <c r="D69" s="142"/>
      <c r="E69" s="143"/>
      <c r="F69" s="144"/>
      <c r="G69" s="121"/>
      <c r="H69" s="122"/>
      <c r="I69" s="145"/>
      <c r="J69" s="145"/>
      <c r="K69" s="188"/>
      <c r="L69" s="189"/>
      <c r="M69" s="145"/>
      <c r="N69" s="145"/>
      <c r="O69" s="146"/>
      <c r="P69" s="147"/>
    </row>
    <row r="70" spans="1:16" ht="13.2" x14ac:dyDescent="0.2">
      <c r="A70" s="110">
        <v>1</v>
      </c>
      <c r="B70" s="106" t="s">
        <v>60</v>
      </c>
      <c r="C70" s="111" t="s">
        <v>580</v>
      </c>
      <c r="D70" s="106" t="s">
        <v>89</v>
      </c>
      <c r="E70" s="154">
        <v>0.4</v>
      </c>
      <c r="F70" s="120"/>
      <c r="G70" s="121"/>
      <c r="H70" s="122">
        <f t="shared" ref="H70" si="66">ROUND(F70*G70,2)</f>
        <v>0</v>
      </c>
      <c r="I70" s="121"/>
      <c r="J70" s="121"/>
      <c r="K70" s="179">
        <f t="shared" ref="K70:K77" si="67">ROUND(H70+J70+I70,2)</f>
        <v>0</v>
      </c>
      <c r="L70" s="184">
        <f t="shared" ref="L70:L77" si="68">ROUND(E70*F70,2)</f>
        <v>0</v>
      </c>
      <c r="M70" s="121">
        <f t="shared" ref="M70:M77" si="69">ROUND(E70*H70,2)</f>
        <v>0</v>
      </c>
      <c r="N70" s="121">
        <f t="shared" ref="N70:N77" si="70">ROUND(E70*I70,2)</f>
        <v>0</v>
      </c>
      <c r="O70" s="121">
        <f t="shared" ref="O70:O77" si="71">ROUND(E70*J70,2)</f>
        <v>0</v>
      </c>
      <c r="P70" s="123">
        <f t="shared" ref="P70:P77" si="72">ROUND(O70+N70+M70,2)</f>
        <v>0</v>
      </c>
    </row>
    <row r="71" spans="1:16" ht="13.2" x14ac:dyDescent="0.2">
      <c r="A71" s="110">
        <v>2</v>
      </c>
      <c r="B71" s="106"/>
      <c r="C71" s="99" t="s">
        <v>578</v>
      </c>
      <c r="D71" s="106" t="s">
        <v>89</v>
      </c>
      <c r="E71" s="155">
        <f>0.4*1.21</f>
        <v>0.48399999999999999</v>
      </c>
      <c r="F71" s="120"/>
      <c r="G71" s="121"/>
      <c r="H71" s="122"/>
      <c r="I71" s="121"/>
      <c r="J71" s="121"/>
      <c r="K71" s="179">
        <f t="shared" si="67"/>
        <v>0</v>
      </c>
      <c r="L71" s="184">
        <f t="shared" si="68"/>
        <v>0</v>
      </c>
      <c r="M71" s="121">
        <f t="shared" si="69"/>
        <v>0</v>
      </c>
      <c r="N71" s="121">
        <f t="shared" si="70"/>
        <v>0</v>
      </c>
      <c r="O71" s="121">
        <f t="shared" si="71"/>
        <v>0</v>
      </c>
      <c r="P71" s="123">
        <f t="shared" si="72"/>
        <v>0</v>
      </c>
    </row>
    <row r="72" spans="1:16" ht="13.2" x14ac:dyDescent="0.2">
      <c r="A72" s="110">
        <v>3</v>
      </c>
      <c r="B72" s="106"/>
      <c r="C72" s="99" t="s">
        <v>571</v>
      </c>
      <c r="D72" s="106" t="s">
        <v>99</v>
      </c>
      <c r="E72" s="112">
        <f>50*2.5*1.5*1.15*E70</f>
        <v>86.25</v>
      </c>
      <c r="F72" s="120"/>
      <c r="G72" s="121"/>
      <c r="H72" s="122"/>
      <c r="I72" s="121"/>
      <c r="J72" s="121"/>
      <c r="K72" s="179">
        <f t="shared" si="67"/>
        <v>0</v>
      </c>
      <c r="L72" s="184">
        <f t="shared" si="68"/>
        <v>0</v>
      </c>
      <c r="M72" s="121">
        <f t="shared" si="69"/>
        <v>0</v>
      </c>
      <c r="N72" s="121">
        <f t="shared" si="70"/>
        <v>0</v>
      </c>
      <c r="O72" s="121">
        <f t="shared" si="71"/>
        <v>0</v>
      </c>
      <c r="P72" s="123">
        <f t="shared" si="72"/>
        <v>0</v>
      </c>
    </row>
    <row r="73" spans="1:16" ht="13.2" x14ac:dyDescent="0.2">
      <c r="A73" s="110">
        <v>4</v>
      </c>
      <c r="B73" s="106"/>
      <c r="C73" s="99" t="s">
        <v>568</v>
      </c>
      <c r="D73" s="106" t="s">
        <v>68</v>
      </c>
      <c r="E73" s="112">
        <v>1</v>
      </c>
      <c r="F73" s="120"/>
      <c r="G73" s="121"/>
      <c r="H73" s="122"/>
      <c r="I73" s="121"/>
      <c r="J73" s="121"/>
      <c r="K73" s="179">
        <f t="shared" si="67"/>
        <v>0</v>
      </c>
      <c r="L73" s="184">
        <f t="shared" si="68"/>
        <v>0</v>
      </c>
      <c r="M73" s="121">
        <f t="shared" si="69"/>
        <v>0</v>
      </c>
      <c r="N73" s="121">
        <f t="shared" si="70"/>
        <v>0</v>
      </c>
      <c r="O73" s="121">
        <f t="shared" si="71"/>
        <v>0</v>
      </c>
      <c r="P73" s="123">
        <f t="shared" si="72"/>
        <v>0</v>
      </c>
    </row>
    <row r="74" spans="1:16" ht="13.2" x14ac:dyDescent="0.2">
      <c r="A74" s="110">
        <v>5</v>
      </c>
      <c r="B74" s="106" t="s">
        <v>60</v>
      </c>
      <c r="C74" s="111" t="s">
        <v>572</v>
      </c>
      <c r="D74" s="106" t="s">
        <v>73</v>
      </c>
      <c r="E74" s="154">
        <f>2.64</f>
        <v>2.64</v>
      </c>
      <c r="F74" s="120"/>
      <c r="G74" s="121"/>
      <c r="H74" s="122">
        <f t="shared" ref="H74" si="73">ROUND(F74*G74,2)</f>
        <v>0</v>
      </c>
      <c r="I74" s="121"/>
      <c r="J74" s="121"/>
      <c r="K74" s="179">
        <f t="shared" si="67"/>
        <v>0</v>
      </c>
      <c r="L74" s="184">
        <f t="shared" si="68"/>
        <v>0</v>
      </c>
      <c r="M74" s="121">
        <f t="shared" si="69"/>
        <v>0</v>
      </c>
      <c r="N74" s="121">
        <f t="shared" si="70"/>
        <v>0</v>
      </c>
      <c r="O74" s="121">
        <f t="shared" si="71"/>
        <v>0</v>
      </c>
      <c r="P74" s="123">
        <f t="shared" si="72"/>
        <v>0</v>
      </c>
    </row>
    <row r="75" spans="1:16" ht="13.2" x14ac:dyDescent="0.2">
      <c r="A75" s="110">
        <v>6</v>
      </c>
      <c r="B75" s="106"/>
      <c r="C75" s="99" t="s">
        <v>240</v>
      </c>
      <c r="D75" s="106" t="s">
        <v>73</v>
      </c>
      <c r="E75" s="155">
        <f>E74*1.15</f>
        <v>3.036</v>
      </c>
      <c r="F75" s="120"/>
      <c r="G75" s="121"/>
      <c r="H75" s="122"/>
      <c r="I75" s="121"/>
      <c r="J75" s="121"/>
      <c r="K75" s="179">
        <f t="shared" si="67"/>
        <v>0</v>
      </c>
      <c r="L75" s="184">
        <f t="shared" si="68"/>
        <v>0</v>
      </c>
      <c r="M75" s="121">
        <f t="shared" si="69"/>
        <v>0</v>
      </c>
      <c r="N75" s="121">
        <f t="shared" si="70"/>
        <v>0</v>
      </c>
      <c r="O75" s="121">
        <f t="shared" si="71"/>
        <v>0</v>
      </c>
      <c r="P75" s="123">
        <f t="shared" si="72"/>
        <v>0</v>
      </c>
    </row>
    <row r="76" spans="1:16" ht="13.2" x14ac:dyDescent="0.2">
      <c r="A76" s="110">
        <v>7</v>
      </c>
      <c r="B76" s="106"/>
      <c r="C76" s="99" t="s">
        <v>241</v>
      </c>
      <c r="D76" s="106" t="s">
        <v>99</v>
      </c>
      <c r="E76" s="112">
        <f>E74*5</f>
        <v>13.200000000000001</v>
      </c>
      <c r="F76" s="120"/>
      <c r="G76" s="121"/>
      <c r="H76" s="122"/>
      <c r="I76" s="121"/>
      <c r="J76" s="121"/>
      <c r="K76" s="179">
        <f t="shared" si="67"/>
        <v>0</v>
      </c>
      <c r="L76" s="184">
        <f t="shared" si="68"/>
        <v>0</v>
      </c>
      <c r="M76" s="121">
        <f t="shared" si="69"/>
        <v>0</v>
      </c>
      <c r="N76" s="121">
        <f t="shared" si="70"/>
        <v>0</v>
      </c>
      <c r="O76" s="121">
        <f t="shared" si="71"/>
        <v>0</v>
      </c>
      <c r="P76" s="123">
        <f t="shared" si="72"/>
        <v>0</v>
      </c>
    </row>
    <row r="77" spans="1:16" ht="13.2" x14ac:dyDescent="0.2">
      <c r="A77" s="110">
        <v>8</v>
      </c>
      <c r="B77" s="106"/>
      <c r="C77" s="99" t="s">
        <v>119</v>
      </c>
      <c r="D77" s="106" t="s">
        <v>68</v>
      </c>
      <c r="E77" s="112">
        <v>1</v>
      </c>
      <c r="F77" s="120"/>
      <c r="G77" s="121"/>
      <c r="H77" s="122"/>
      <c r="I77" s="121"/>
      <c r="J77" s="121"/>
      <c r="K77" s="179">
        <f t="shared" si="67"/>
        <v>0</v>
      </c>
      <c r="L77" s="184">
        <f t="shared" si="68"/>
        <v>0</v>
      </c>
      <c r="M77" s="121">
        <f t="shared" si="69"/>
        <v>0</v>
      </c>
      <c r="N77" s="121">
        <f t="shared" si="70"/>
        <v>0</v>
      </c>
      <c r="O77" s="121">
        <f t="shared" si="71"/>
        <v>0</v>
      </c>
      <c r="P77" s="123">
        <f t="shared" si="72"/>
        <v>0</v>
      </c>
    </row>
    <row r="78" spans="1:16" ht="26.4" x14ac:dyDescent="0.2">
      <c r="A78" s="110">
        <v>9</v>
      </c>
      <c r="B78" s="106" t="s">
        <v>60</v>
      </c>
      <c r="C78" s="100" t="s">
        <v>583</v>
      </c>
      <c r="D78" s="106" t="s">
        <v>62</v>
      </c>
      <c r="E78" s="112">
        <f>2.1*2+2</f>
        <v>6.2</v>
      </c>
      <c r="F78" s="120"/>
      <c r="G78" s="121"/>
      <c r="H78" s="122">
        <f t="shared" ref="H78:H79" si="74">ROUND(F78*G78,2)</f>
        <v>0</v>
      </c>
      <c r="I78" s="121"/>
      <c r="J78" s="121"/>
      <c r="K78" s="179">
        <f t="shared" ref="K78:K84" si="75">ROUND(H78+J78+I78,2)</f>
        <v>0</v>
      </c>
      <c r="L78" s="184">
        <f t="shared" ref="L78:L84" si="76">ROUND(E78*F78,2)</f>
        <v>0</v>
      </c>
      <c r="M78" s="121">
        <f t="shared" ref="M78:M84" si="77">ROUND(E78*H78,2)</f>
        <v>0</v>
      </c>
      <c r="N78" s="121">
        <f t="shared" ref="N78:N84" si="78">ROUND(E78*I78,2)</f>
        <v>0</v>
      </c>
      <c r="O78" s="121">
        <f t="shared" ref="O78:O84" si="79">ROUND(E78*J78,2)</f>
        <v>0</v>
      </c>
      <c r="P78" s="123">
        <f t="shared" ref="P78:P84" si="80">ROUND(O78+N78+M78,2)</f>
        <v>0</v>
      </c>
    </row>
    <row r="79" spans="1:16" ht="13.2" x14ac:dyDescent="0.2">
      <c r="A79" s="110">
        <v>10</v>
      </c>
      <c r="B79" s="106" t="s">
        <v>60</v>
      </c>
      <c r="C79" s="100" t="s">
        <v>584</v>
      </c>
      <c r="D79" s="106" t="s">
        <v>73</v>
      </c>
      <c r="E79" s="112">
        <v>6.53</v>
      </c>
      <c r="F79" s="120"/>
      <c r="G79" s="121"/>
      <c r="H79" s="122">
        <f t="shared" si="74"/>
        <v>0</v>
      </c>
      <c r="I79" s="121"/>
      <c r="J79" s="121"/>
      <c r="K79" s="179">
        <f t="shared" si="75"/>
        <v>0</v>
      </c>
      <c r="L79" s="184">
        <f t="shared" si="76"/>
        <v>0</v>
      </c>
      <c r="M79" s="121">
        <f t="shared" si="77"/>
        <v>0</v>
      </c>
      <c r="N79" s="121">
        <f t="shared" si="78"/>
        <v>0</v>
      </c>
      <c r="O79" s="121">
        <f t="shared" si="79"/>
        <v>0</v>
      </c>
      <c r="P79" s="123">
        <f t="shared" si="80"/>
        <v>0</v>
      </c>
    </row>
    <row r="80" spans="1:16" ht="13.2" x14ac:dyDescent="0.2">
      <c r="A80" s="110">
        <v>11</v>
      </c>
      <c r="B80" s="106"/>
      <c r="C80" s="99" t="s">
        <v>373</v>
      </c>
      <c r="D80" s="106" t="s">
        <v>96</v>
      </c>
      <c r="E80" s="112">
        <f>E79*0.15</f>
        <v>0.97950000000000004</v>
      </c>
      <c r="F80" s="120"/>
      <c r="G80" s="121"/>
      <c r="H80" s="122"/>
      <c r="I80" s="121"/>
      <c r="J80" s="121"/>
      <c r="K80" s="179">
        <f t="shared" si="75"/>
        <v>0</v>
      </c>
      <c r="L80" s="184">
        <f t="shared" si="76"/>
        <v>0</v>
      </c>
      <c r="M80" s="121">
        <f t="shared" si="77"/>
        <v>0</v>
      </c>
      <c r="N80" s="121">
        <f t="shared" si="78"/>
        <v>0</v>
      </c>
      <c r="O80" s="121">
        <f t="shared" si="79"/>
        <v>0</v>
      </c>
      <c r="P80" s="123">
        <f t="shared" si="80"/>
        <v>0</v>
      </c>
    </row>
    <row r="81" spans="1:16" ht="26.4" x14ac:dyDescent="0.2">
      <c r="A81" s="110">
        <v>12</v>
      </c>
      <c r="B81" s="106"/>
      <c r="C81" s="99" t="s">
        <v>108</v>
      </c>
      <c r="D81" s="106" t="s">
        <v>109</v>
      </c>
      <c r="E81" s="112">
        <f>E79*5*1.2</f>
        <v>39.18</v>
      </c>
      <c r="F81" s="120"/>
      <c r="G81" s="121"/>
      <c r="H81" s="122"/>
      <c r="I81" s="121"/>
      <c r="J81" s="121"/>
      <c r="K81" s="179">
        <f t="shared" si="75"/>
        <v>0</v>
      </c>
      <c r="L81" s="184">
        <f t="shared" si="76"/>
        <v>0</v>
      </c>
      <c r="M81" s="121">
        <f t="shared" si="77"/>
        <v>0</v>
      </c>
      <c r="N81" s="121">
        <f t="shared" si="78"/>
        <v>0</v>
      </c>
      <c r="O81" s="121">
        <f t="shared" si="79"/>
        <v>0</v>
      </c>
      <c r="P81" s="123">
        <f t="shared" si="80"/>
        <v>0</v>
      </c>
    </row>
    <row r="82" spans="1:16" ht="13.2" x14ac:dyDescent="0.2">
      <c r="A82" s="110">
        <v>13</v>
      </c>
      <c r="B82" s="106" t="s">
        <v>60</v>
      </c>
      <c r="C82" s="100" t="s">
        <v>528</v>
      </c>
      <c r="D82" s="106" t="s">
        <v>73</v>
      </c>
      <c r="E82" s="112">
        <v>0.66</v>
      </c>
      <c r="F82" s="120"/>
      <c r="G82" s="121"/>
      <c r="H82" s="122">
        <f t="shared" ref="H82" si="81">ROUND(F82*G82,2)</f>
        <v>0</v>
      </c>
      <c r="I82" s="121"/>
      <c r="J82" s="121"/>
      <c r="K82" s="179">
        <f t="shared" si="75"/>
        <v>0</v>
      </c>
      <c r="L82" s="184">
        <f t="shared" si="76"/>
        <v>0</v>
      </c>
      <c r="M82" s="121">
        <f t="shared" si="77"/>
        <v>0</v>
      </c>
      <c r="N82" s="121">
        <f t="shared" si="78"/>
        <v>0</v>
      </c>
      <c r="O82" s="121">
        <f t="shared" si="79"/>
        <v>0</v>
      </c>
      <c r="P82" s="123">
        <f t="shared" si="80"/>
        <v>0</v>
      </c>
    </row>
    <row r="83" spans="1:16" ht="13.2" x14ac:dyDescent="0.2">
      <c r="A83" s="110">
        <v>14</v>
      </c>
      <c r="B83" s="106"/>
      <c r="C83" s="99" t="s">
        <v>262</v>
      </c>
      <c r="D83" s="106" t="s">
        <v>96</v>
      </c>
      <c r="E83" s="112">
        <f>E82*0.17</f>
        <v>0.11220000000000001</v>
      </c>
      <c r="F83" s="120"/>
      <c r="G83" s="121"/>
      <c r="H83" s="122"/>
      <c r="I83" s="121"/>
      <c r="J83" s="121"/>
      <c r="K83" s="179">
        <f t="shared" si="75"/>
        <v>0</v>
      </c>
      <c r="L83" s="184">
        <f t="shared" si="76"/>
        <v>0</v>
      </c>
      <c r="M83" s="121">
        <f t="shared" si="77"/>
        <v>0</v>
      </c>
      <c r="N83" s="121">
        <f t="shared" si="78"/>
        <v>0</v>
      </c>
      <c r="O83" s="121">
        <f t="shared" si="79"/>
        <v>0</v>
      </c>
      <c r="P83" s="123">
        <f t="shared" si="80"/>
        <v>0</v>
      </c>
    </row>
    <row r="84" spans="1:16" ht="13.2" x14ac:dyDescent="0.2">
      <c r="A84" s="110">
        <v>15</v>
      </c>
      <c r="B84" s="106"/>
      <c r="C84" s="99" t="s">
        <v>581</v>
      </c>
      <c r="D84" s="106" t="s">
        <v>96</v>
      </c>
      <c r="E84" s="152">
        <f>E82*0.12*2*1.05</f>
        <v>0.16632000000000002</v>
      </c>
      <c r="F84" s="120"/>
      <c r="G84" s="121"/>
      <c r="H84" s="122"/>
      <c r="I84" s="121"/>
      <c r="J84" s="121"/>
      <c r="K84" s="179">
        <f t="shared" si="75"/>
        <v>0</v>
      </c>
      <c r="L84" s="184">
        <f t="shared" si="76"/>
        <v>0</v>
      </c>
      <c r="M84" s="121">
        <f t="shared" si="77"/>
        <v>0</v>
      </c>
      <c r="N84" s="121">
        <f t="shared" si="78"/>
        <v>0</v>
      </c>
      <c r="O84" s="121">
        <f t="shared" si="79"/>
        <v>0</v>
      </c>
      <c r="P84" s="123">
        <f t="shared" si="80"/>
        <v>0</v>
      </c>
    </row>
    <row r="85" spans="1:16" ht="13.2" x14ac:dyDescent="0.2">
      <c r="A85" s="140"/>
      <c r="B85" s="107"/>
      <c r="C85" s="141" t="s">
        <v>573</v>
      </c>
      <c r="D85" s="142"/>
      <c r="E85" s="143"/>
      <c r="F85" s="144"/>
      <c r="G85" s="121"/>
      <c r="H85" s="122"/>
      <c r="I85" s="145"/>
      <c r="J85" s="145"/>
      <c r="K85" s="188"/>
      <c r="L85" s="189"/>
      <c r="M85" s="145"/>
      <c r="N85" s="145"/>
      <c r="O85" s="146"/>
      <c r="P85" s="147"/>
    </row>
    <row r="86" spans="1:16" ht="66" x14ac:dyDescent="0.2">
      <c r="A86" s="110">
        <v>1</v>
      </c>
      <c r="B86" s="106" t="s">
        <v>60</v>
      </c>
      <c r="C86" s="111" t="s">
        <v>579</v>
      </c>
      <c r="D86" s="106" t="s">
        <v>68</v>
      </c>
      <c r="E86" s="154">
        <v>18</v>
      </c>
      <c r="F86" s="120"/>
      <c r="G86" s="121"/>
      <c r="H86" s="122">
        <f t="shared" ref="H86:H87" si="82">ROUND(F86*G86,2)</f>
        <v>0</v>
      </c>
      <c r="I86" s="121"/>
      <c r="J86" s="121"/>
      <c r="K86" s="179">
        <f t="shared" ref="K86:K87" si="83">ROUND(H86+J86+I86,2)</f>
        <v>0</v>
      </c>
      <c r="L86" s="184">
        <f t="shared" ref="L86:L87" si="84">ROUND(E86*F86,2)</f>
        <v>0</v>
      </c>
      <c r="M86" s="121">
        <f t="shared" ref="M86:M87" si="85">ROUND(E86*H86,2)</f>
        <v>0</v>
      </c>
      <c r="N86" s="121">
        <f t="shared" ref="N86:N87" si="86">ROUND(E86*I86,2)</f>
        <v>0</v>
      </c>
      <c r="O86" s="121">
        <f t="shared" ref="O86:O87" si="87">ROUND(E86*J86,2)</f>
        <v>0</v>
      </c>
      <c r="P86" s="123">
        <f t="shared" ref="P86:P87" si="88">ROUND(O86+N86+M86,2)</f>
        <v>0</v>
      </c>
    </row>
    <row r="87" spans="1:16" ht="13.8" thickBot="1" x14ac:dyDescent="0.25">
      <c r="A87" s="110">
        <v>2</v>
      </c>
      <c r="B87" s="106" t="s">
        <v>60</v>
      </c>
      <c r="C87" s="111" t="s">
        <v>574</v>
      </c>
      <c r="D87" s="106" t="s">
        <v>68</v>
      </c>
      <c r="E87" s="154">
        <v>1</v>
      </c>
      <c r="F87" s="120"/>
      <c r="G87" s="121"/>
      <c r="H87" s="122">
        <f t="shared" si="82"/>
        <v>0</v>
      </c>
      <c r="I87" s="121"/>
      <c r="J87" s="121"/>
      <c r="K87" s="179">
        <f t="shared" si="83"/>
        <v>0</v>
      </c>
      <c r="L87" s="185">
        <f t="shared" si="84"/>
        <v>0</v>
      </c>
      <c r="M87" s="156">
        <f t="shared" si="85"/>
        <v>0</v>
      </c>
      <c r="N87" s="156">
        <f t="shared" si="86"/>
        <v>0</v>
      </c>
      <c r="O87" s="156">
        <f t="shared" si="87"/>
        <v>0</v>
      </c>
      <c r="P87" s="157">
        <f t="shared" si="88"/>
        <v>0</v>
      </c>
    </row>
    <row r="88" spans="1:16" ht="10.8" thickBot="1" x14ac:dyDescent="0.25">
      <c r="A88" s="285" t="s">
        <v>703</v>
      </c>
      <c r="B88" s="286"/>
      <c r="C88" s="286"/>
      <c r="D88" s="286"/>
      <c r="E88" s="286"/>
      <c r="F88" s="286"/>
      <c r="G88" s="286"/>
      <c r="H88" s="286"/>
      <c r="I88" s="286"/>
      <c r="J88" s="286"/>
      <c r="K88" s="287"/>
      <c r="L88" s="69">
        <f>SUM(L14:L87)</f>
        <v>0</v>
      </c>
      <c r="M88" s="70">
        <f>SUM(M14:M87)</f>
        <v>0</v>
      </c>
      <c r="N88" s="70">
        <f>SUM(N14:N87)</f>
        <v>0</v>
      </c>
      <c r="O88" s="70">
        <f>SUM(O14:O87)</f>
        <v>0</v>
      </c>
      <c r="P88" s="71">
        <f>SUM(P14:P87)</f>
        <v>0</v>
      </c>
    </row>
    <row r="89" spans="1:16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1:16" x14ac:dyDescent="0.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1:16" x14ac:dyDescent="0.2">
      <c r="A91" s="1" t="s">
        <v>14</v>
      </c>
      <c r="B91" s="17"/>
      <c r="C91" s="284">
        <f>'Kops a'!C37:H37</f>
        <v>0</v>
      </c>
      <c r="D91" s="284"/>
      <c r="E91" s="284"/>
      <c r="F91" s="284"/>
      <c r="G91" s="284"/>
      <c r="H91" s="284"/>
      <c r="I91" s="17"/>
      <c r="J91" s="17"/>
      <c r="K91" s="17"/>
      <c r="L91" s="17"/>
      <c r="M91" s="17"/>
      <c r="N91" s="17"/>
      <c r="O91" s="17"/>
      <c r="P91" s="17"/>
    </row>
    <row r="92" spans="1:16" x14ac:dyDescent="0.2">
      <c r="A92" s="17"/>
      <c r="B92" s="17"/>
      <c r="C92" s="219" t="s">
        <v>15</v>
      </c>
      <c r="D92" s="219"/>
      <c r="E92" s="219"/>
      <c r="F92" s="219"/>
      <c r="G92" s="219"/>
      <c r="H92" s="219"/>
      <c r="I92" s="17"/>
      <c r="J92" s="17"/>
      <c r="K92" s="17"/>
      <c r="L92" s="17"/>
      <c r="M92" s="17"/>
      <c r="N92" s="17"/>
      <c r="O92" s="17"/>
      <c r="P92" s="17"/>
    </row>
    <row r="93" spans="1:16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1:16" x14ac:dyDescent="0.2">
      <c r="A94" s="88" t="str">
        <f>'Kops a'!A40</f>
        <v xml:space="preserve">Tāme sastādīta </v>
      </c>
      <c r="B94" s="89"/>
      <c r="C94" s="89"/>
      <c r="D94" s="89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1:16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1:16" x14ac:dyDescent="0.2">
      <c r="A96" s="1" t="s">
        <v>37</v>
      </c>
      <c r="B96" s="17"/>
      <c r="C96" s="284">
        <f>'Kops a'!C42:H42</f>
        <v>0</v>
      </c>
      <c r="D96" s="284"/>
      <c r="E96" s="284"/>
      <c r="F96" s="284"/>
      <c r="G96" s="284"/>
      <c r="H96" s="284"/>
      <c r="I96" s="17"/>
      <c r="J96" s="17"/>
      <c r="K96" s="17"/>
      <c r="L96" s="17"/>
      <c r="M96" s="17"/>
      <c r="N96" s="17"/>
      <c r="O96" s="17"/>
      <c r="P96" s="17"/>
    </row>
    <row r="97" spans="1:16" x14ac:dyDescent="0.2">
      <c r="A97" s="17"/>
      <c r="B97" s="17"/>
      <c r="C97" s="219" t="s">
        <v>15</v>
      </c>
      <c r="D97" s="219"/>
      <c r="E97" s="219"/>
      <c r="F97" s="219"/>
      <c r="G97" s="219"/>
      <c r="H97" s="219"/>
      <c r="I97" s="17"/>
      <c r="J97" s="17"/>
      <c r="K97" s="17"/>
      <c r="L97" s="17"/>
      <c r="M97" s="17"/>
      <c r="N97" s="17"/>
      <c r="O97" s="17"/>
      <c r="P97" s="17"/>
    </row>
    <row r="98" spans="1:16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1:16" x14ac:dyDescent="0.2">
      <c r="A99" s="88" t="s">
        <v>54</v>
      </c>
      <c r="B99" s="89"/>
      <c r="C99" s="93">
        <f>'Kops a'!C45</f>
        <v>0</v>
      </c>
      <c r="D99" s="50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pans="1:16" x14ac:dyDescent="0.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</sheetData>
  <mergeCells count="25">
    <mergeCell ref="C91:H91"/>
    <mergeCell ref="C92:H92"/>
    <mergeCell ref="C96:H96"/>
    <mergeCell ref="D7:L7"/>
    <mergeCell ref="C2:I2"/>
    <mergeCell ref="C3:I3"/>
    <mergeCell ref="C4:I4"/>
    <mergeCell ref="D5:L5"/>
    <mergeCell ref="D6:L6"/>
    <mergeCell ref="A9:F9"/>
    <mergeCell ref="Q20:W20"/>
    <mergeCell ref="Q31:V41"/>
    <mergeCell ref="Q43:V55"/>
    <mergeCell ref="C97:H97"/>
    <mergeCell ref="D8:L8"/>
    <mergeCell ref="J9:M9"/>
    <mergeCell ref="N9:O9"/>
    <mergeCell ref="A12:A13"/>
    <mergeCell ref="B12:B13"/>
    <mergeCell ref="C12:C13"/>
    <mergeCell ref="D12:D13"/>
    <mergeCell ref="E12:E13"/>
    <mergeCell ref="F12:K12"/>
    <mergeCell ref="L12:P12"/>
    <mergeCell ref="A88:K88"/>
  </mergeCells>
  <conditionalFormatting sqref="D14:G51 C34:C51 I14:J51 A14:B49 B50:B51 A50:A55 D55:G73 I55:J73 A56:C73 A74:A84">
    <cfRule type="cellIs" dxfId="120" priority="62" operator="equal">
      <formula>0</formula>
    </cfRule>
  </conditionalFormatting>
  <conditionalFormatting sqref="N9:O9 H14:H51 K14:P51 K55:P73 H55:H73">
    <cfRule type="cellIs" dxfId="119" priority="61" operator="equal">
      <formula>0</formula>
    </cfRule>
  </conditionalFormatting>
  <conditionalFormatting sqref="A9:F9">
    <cfRule type="containsText" dxfId="118" priority="60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17" priority="59" operator="equal">
      <formula>0</formula>
    </cfRule>
  </conditionalFormatting>
  <conditionalFormatting sqref="O10">
    <cfRule type="cellIs" dxfId="116" priority="58" operator="equal">
      <formula>"20__. gada __. _________"</formula>
    </cfRule>
  </conditionalFormatting>
  <conditionalFormatting sqref="A88:K88">
    <cfRule type="containsText" dxfId="115" priority="57" operator="containsText" text="Tiešās izmaksas kopā, t. sk. darba devēja sociālais nodoklis __.__% ">
      <formula>NOT(ISERROR(SEARCH("Tiešās izmaksas kopā, t. sk. darba devēja sociālais nodoklis __.__% ",A88)))</formula>
    </cfRule>
  </conditionalFormatting>
  <conditionalFormatting sqref="L88:P88 H77 K77:P77 K85:P87 H85:H87">
    <cfRule type="cellIs" dxfId="114" priority="56" operator="equal">
      <formula>0</formula>
    </cfRule>
  </conditionalFormatting>
  <conditionalFormatting sqref="C4:I4">
    <cfRule type="cellIs" dxfId="113" priority="55" operator="equal">
      <formula>0</formula>
    </cfRule>
  </conditionalFormatting>
  <conditionalFormatting sqref="D5:L8">
    <cfRule type="cellIs" dxfId="112" priority="54" operator="equal">
      <formula>0</formula>
    </cfRule>
  </conditionalFormatting>
  <conditionalFormatting sqref="B55 D77:G77 B77 A85:B87 D85:G87">
    <cfRule type="cellIs" dxfId="111" priority="53" operator="equal">
      <formula>0</formula>
    </cfRule>
  </conditionalFormatting>
  <conditionalFormatting sqref="C14:C32 C77 C85:C87">
    <cfRule type="cellIs" dxfId="110" priority="52" operator="equal">
      <formula>0</formula>
    </cfRule>
  </conditionalFormatting>
  <conditionalFormatting sqref="I77:J77 I85:J87">
    <cfRule type="cellIs" dxfId="109" priority="51" operator="equal">
      <formula>0</formula>
    </cfRule>
  </conditionalFormatting>
  <conditionalFormatting sqref="P10">
    <cfRule type="cellIs" dxfId="108" priority="50" operator="equal">
      <formula>"20__. gada __. _________"</formula>
    </cfRule>
  </conditionalFormatting>
  <conditionalFormatting sqref="C96:H96">
    <cfRule type="cellIs" dxfId="107" priority="47" operator="equal">
      <formula>0</formula>
    </cfRule>
  </conditionalFormatting>
  <conditionalFormatting sqref="C91:H91">
    <cfRule type="cellIs" dxfId="106" priority="46" operator="equal">
      <formula>0</formula>
    </cfRule>
  </conditionalFormatting>
  <conditionalFormatting sqref="C96:H96 C99 C91:H91">
    <cfRule type="cellIs" dxfId="105" priority="45" operator="equal">
      <formula>0</formula>
    </cfRule>
  </conditionalFormatting>
  <conditionalFormatting sqref="D1">
    <cfRule type="cellIs" dxfId="104" priority="44" operator="equal">
      <formula>0</formula>
    </cfRule>
  </conditionalFormatting>
  <conditionalFormatting sqref="H52:H54 K52:P54">
    <cfRule type="cellIs" dxfId="103" priority="43" operator="equal">
      <formula>0</formula>
    </cfRule>
  </conditionalFormatting>
  <conditionalFormatting sqref="D52:G54 B52:B54">
    <cfRule type="cellIs" dxfId="102" priority="42" operator="equal">
      <formula>0</formula>
    </cfRule>
  </conditionalFormatting>
  <conditionalFormatting sqref="I52:J54">
    <cfRule type="cellIs" dxfId="101" priority="40" operator="equal">
      <formula>0</formula>
    </cfRule>
  </conditionalFormatting>
  <conditionalFormatting sqref="H74:H76 K74:P76">
    <cfRule type="cellIs" dxfId="100" priority="39" operator="equal">
      <formula>0</formula>
    </cfRule>
  </conditionalFormatting>
  <conditionalFormatting sqref="D74:G76 B74:B76">
    <cfRule type="cellIs" dxfId="99" priority="38" operator="equal">
      <formula>0</formula>
    </cfRule>
  </conditionalFormatting>
  <conditionalFormatting sqref="C74:C76">
    <cfRule type="cellIs" dxfId="98" priority="37" operator="equal">
      <formula>0</formula>
    </cfRule>
  </conditionalFormatting>
  <conditionalFormatting sqref="I74:J76">
    <cfRule type="cellIs" dxfId="97" priority="36" operator="equal">
      <formula>0</formula>
    </cfRule>
  </conditionalFormatting>
  <conditionalFormatting sqref="C33">
    <cfRule type="cellIs" dxfId="96" priority="34" operator="equal">
      <formula>0</formula>
    </cfRule>
  </conditionalFormatting>
  <conditionalFormatting sqref="C52:C55">
    <cfRule type="cellIs" dxfId="95" priority="15" operator="equal">
      <formula>0</formula>
    </cfRule>
  </conditionalFormatting>
  <conditionalFormatting sqref="C82">
    <cfRule type="cellIs" dxfId="94" priority="1" operator="equal">
      <formula>0</formula>
    </cfRule>
  </conditionalFormatting>
  <conditionalFormatting sqref="H78 K78:P78">
    <cfRule type="cellIs" dxfId="93" priority="13" operator="equal">
      <formula>0</formula>
    </cfRule>
  </conditionalFormatting>
  <conditionalFormatting sqref="D78:G78 B78">
    <cfRule type="cellIs" dxfId="92" priority="12" operator="equal">
      <formula>0</formula>
    </cfRule>
  </conditionalFormatting>
  <conditionalFormatting sqref="C78">
    <cfRule type="cellIs" dxfId="91" priority="11" operator="equal">
      <formula>0</formula>
    </cfRule>
  </conditionalFormatting>
  <conditionalFormatting sqref="I78:J78">
    <cfRule type="cellIs" dxfId="90" priority="10" operator="equal">
      <formula>0</formula>
    </cfRule>
  </conditionalFormatting>
  <conditionalFormatting sqref="H79:H81 K79:P81">
    <cfRule type="cellIs" dxfId="89" priority="9" operator="equal">
      <formula>0</formula>
    </cfRule>
  </conditionalFormatting>
  <conditionalFormatting sqref="D79:G81 B79:B81">
    <cfRule type="cellIs" dxfId="88" priority="8" operator="equal">
      <formula>0</formula>
    </cfRule>
  </conditionalFormatting>
  <conditionalFormatting sqref="C79:C81">
    <cfRule type="cellIs" dxfId="87" priority="7" operator="equal">
      <formula>0</formula>
    </cfRule>
  </conditionalFormatting>
  <conditionalFormatting sqref="I79:J81">
    <cfRule type="cellIs" dxfId="86" priority="6" operator="equal">
      <formula>0</formula>
    </cfRule>
  </conditionalFormatting>
  <conditionalFormatting sqref="H82:H84 K82:P84">
    <cfRule type="cellIs" dxfId="85" priority="5" operator="equal">
      <formula>0</formula>
    </cfRule>
  </conditionalFormatting>
  <conditionalFormatting sqref="D82:G84 B82:B84">
    <cfRule type="cellIs" dxfId="84" priority="4" operator="equal">
      <formula>0</formula>
    </cfRule>
  </conditionalFormatting>
  <conditionalFormatting sqref="C83:C84">
    <cfRule type="cellIs" dxfId="83" priority="3" operator="equal">
      <formula>0</formula>
    </cfRule>
  </conditionalFormatting>
  <conditionalFormatting sqref="I82:J84">
    <cfRule type="cellIs" dxfId="82" priority="2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9" operator="containsText" id="{9C802224-88E9-4EAE-8F88-220EE5A70C60}">
            <xm:f>NOT(ISERROR(SEARCH("Tāme sastādīta ____. gada ___. ______________",A94)))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A94</xm:sqref>
        </x14:conditionalFormatting>
        <x14:conditionalFormatting xmlns:xm="http://schemas.microsoft.com/office/excel/2006/main">
          <x14:cfRule type="containsText" priority="48" operator="containsText" id="{4DF81B3C-DE84-41BF-8B9C-99585D359D83}">
            <xm:f>NOT(ISERROR(SEARCH("Sertifikāta Nr. _________________________________",A99)))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A99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Y41"/>
  <sheetViews>
    <sheetView topLeftCell="A17" workbookViewId="0">
      <selection activeCell="A29" sqref="A29:K29"/>
    </sheetView>
  </sheetViews>
  <sheetFormatPr defaultColWidth="9.109375" defaultRowHeight="10.199999999999999" x14ac:dyDescent="0.2"/>
  <cols>
    <col min="1" max="1" width="4.5546875" style="1" customWidth="1"/>
    <col min="2" max="2" width="9.44140625" style="1" bestFit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25" x14ac:dyDescent="0.2">
      <c r="A1" s="23"/>
      <c r="B1" s="23"/>
      <c r="C1" s="27" t="s">
        <v>38</v>
      </c>
      <c r="D1" s="51">
        <f>'Kops a'!A24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25" x14ac:dyDescent="0.2">
      <c r="A2" s="29"/>
      <c r="B2" s="29"/>
      <c r="C2" s="267" t="s">
        <v>129</v>
      </c>
      <c r="D2" s="267"/>
      <c r="E2" s="267"/>
      <c r="F2" s="267"/>
      <c r="G2" s="267"/>
      <c r="H2" s="267"/>
      <c r="I2" s="267"/>
      <c r="J2" s="29"/>
    </row>
    <row r="3" spans="1:25" x14ac:dyDescent="0.2">
      <c r="A3" s="30"/>
      <c r="B3" s="30"/>
      <c r="C3" s="228" t="s">
        <v>17</v>
      </c>
      <c r="D3" s="228"/>
      <c r="E3" s="228"/>
      <c r="F3" s="228"/>
      <c r="G3" s="228"/>
      <c r="H3" s="228"/>
      <c r="I3" s="228"/>
      <c r="J3" s="30"/>
    </row>
    <row r="4" spans="1:25" x14ac:dyDescent="0.2">
      <c r="A4" s="30"/>
      <c r="B4" s="30"/>
      <c r="C4" s="268" t="s">
        <v>52</v>
      </c>
      <c r="D4" s="268"/>
      <c r="E4" s="268"/>
      <c r="F4" s="268"/>
      <c r="G4" s="268"/>
      <c r="H4" s="268"/>
      <c r="I4" s="268"/>
      <c r="J4" s="30"/>
    </row>
    <row r="5" spans="1:25" x14ac:dyDescent="0.2">
      <c r="A5" s="23"/>
      <c r="B5" s="23"/>
      <c r="C5" s="27" t="s">
        <v>5</v>
      </c>
      <c r="D5" s="281" t="str">
        <f>'Kops a'!D6</f>
        <v>DAUDZDZĪVOKĻU DZĪVOJAMĀ ĒKA</v>
      </c>
      <c r="E5" s="281"/>
      <c r="F5" s="281"/>
      <c r="G5" s="281"/>
      <c r="H5" s="281"/>
      <c r="I5" s="281"/>
      <c r="J5" s="281"/>
      <c r="K5" s="281"/>
      <c r="L5" s="281"/>
      <c r="M5" s="17"/>
      <c r="N5" s="17"/>
      <c r="O5" s="17"/>
      <c r="P5" s="17"/>
    </row>
    <row r="6" spans="1:25" x14ac:dyDescent="0.2">
      <c r="A6" s="23"/>
      <c r="B6" s="23"/>
      <c r="C6" s="27" t="s">
        <v>6</v>
      </c>
      <c r="D6" s="281" t="str">
        <f>'Kops a'!D7</f>
        <v>ENERGOEFEKTIVITĀTES PAAUGSTINĀŠANA DAUDZDZĪVOKĻU DZĪVOJAMAI ĒKAI</v>
      </c>
      <c r="E6" s="281"/>
      <c r="F6" s="281"/>
      <c r="G6" s="281"/>
      <c r="H6" s="281"/>
      <c r="I6" s="281"/>
      <c r="J6" s="281"/>
      <c r="K6" s="281"/>
      <c r="L6" s="281"/>
      <c r="M6" s="17"/>
      <c r="N6" s="17"/>
      <c r="O6" s="17"/>
      <c r="P6" s="17"/>
    </row>
    <row r="7" spans="1:25" x14ac:dyDescent="0.2">
      <c r="A7" s="23"/>
      <c r="B7" s="23"/>
      <c r="C7" s="27" t="s">
        <v>7</v>
      </c>
      <c r="D7" s="281" t="str">
        <f>'Kops a'!D8</f>
        <v>Pasta iela 34, Jelgava, ēkas kad. apz. 0900 001 0177 001</v>
      </c>
      <c r="E7" s="281"/>
      <c r="F7" s="281"/>
      <c r="G7" s="281"/>
      <c r="H7" s="281"/>
      <c r="I7" s="281"/>
      <c r="J7" s="281"/>
      <c r="K7" s="281"/>
      <c r="L7" s="281"/>
      <c r="M7" s="17"/>
      <c r="N7" s="17"/>
      <c r="O7" s="17"/>
      <c r="P7" s="17"/>
    </row>
    <row r="8" spans="1:25" x14ac:dyDescent="0.2">
      <c r="A8" s="23"/>
      <c r="B8" s="23"/>
      <c r="C8" s="4" t="s">
        <v>20</v>
      </c>
      <c r="D8" s="281">
        <f>'Kops a'!D9</f>
        <v>0</v>
      </c>
      <c r="E8" s="281"/>
      <c r="F8" s="281"/>
      <c r="G8" s="281"/>
      <c r="H8" s="281"/>
      <c r="I8" s="281"/>
      <c r="J8" s="281"/>
      <c r="K8" s="281"/>
      <c r="L8" s="281"/>
      <c r="M8" s="17"/>
      <c r="N8" s="17"/>
      <c r="O8" s="17"/>
      <c r="P8" s="17"/>
    </row>
    <row r="9" spans="1:25" ht="11.25" customHeight="1" x14ac:dyDescent="0.2">
      <c r="A9" s="269" t="s">
        <v>702</v>
      </c>
      <c r="B9" s="269"/>
      <c r="C9" s="269"/>
      <c r="D9" s="269"/>
      <c r="E9" s="269"/>
      <c r="F9" s="269"/>
      <c r="G9" s="31"/>
      <c r="H9" s="31"/>
      <c r="I9" s="31"/>
      <c r="J9" s="273" t="s">
        <v>39</v>
      </c>
      <c r="K9" s="273"/>
      <c r="L9" s="273"/>
      <c r="M9" s="273"/>
      <c r="N9" s="280">
        <f>P29</f>
        <v>0</v>
      </c>
      <c r="O9" s="280"/>
      <c r="P9" s="31"/>
    </row>
    <row r="10" spans="1:25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1"/>
      <c r="P10" s="90" t="str">
        <f>A35</f>
        <v xml:space="preserve">Tāme sastādīta </v>
      </c>
    </row>
    <row r="11" spans="1:25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25" x14ac:dyDescent="0.2">
      <c r="A12" s="239" t="s">
        <v>23</v>
      </c>
      <c r="B12" s="275" t="s">
        <v>40</v>
      </c>
      <c r="C12" s="271" t="s">
        <v>41</v>
      </c>
      <c r="D12" s="278" t="s">
        <v>42</v>
      </c>
      <c r="E12" s="282" t="s">
        <v>43</v>
      </c>
      <c r="F12" s="270" t="s">
        <v>44</v>
      </c>
      <c r="G12" s="271"/>
      <c r="H12" s="271"/>
      <c r="I12" s="271"/>
      <c r="J12" s="271"/>
      <c r="K12" s="272"/>
      <c r="L12" s="270" t="s">
        <v>45</v>
      </c>
      <c r="M12" s="271"/>
      <c r="N12" s="271"/>
      <c r="O12" s="271"/>
      <c r="P12" s="272"/>
    </row>
    <row r="13" spans="1:25" ht="126.75" customHeight="1" thickBot="1" x14ac:dyDescent="0.25">
      <c r="A13" s="274"/>
      <c r="B13" s="276"/>
      <c r="C13" s="277"/>
      <c r="D13" s="279"/>
      <c r="E13" s="283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25" ht="13.2" x14ac:dyDescent="0.2">
      <c r="A14" s="101"/>
      <c r="B14" s="102"/>
      <c r="C14" s="103" t="s">
        <v>585</v>
      </c>
      <c r="D14" s="104"/>
      <c r="E14" s="105"/>
      <c r="F14" s="138"/>
      <c r="G14" s="121"/>
      <c r="H14" s="139"/>
      <c r="I14" s="139"/>
      <c r="J14" s="139"/>
      <c r="K14" s="186"/>
      <c r="L14" s="187"/>
      <c r="M14" s="131"/>
      <c r="N14" s="131"/>
      <c r="O14" s="131"/>
      <c r="P14" s="133"/>
    </row>
    <row r="15" spans="1:25" ht="13.2" x14ac:dyDescent="0.2">
      <c r="A15" s="110">
        <v>1</v>
      </c>
      <c r="B15" s="106" t="s">
        <v>60</v>
      </c>
      <c r="C15" s="100" t="s">
        <v>586</v>
      </c>
      <c r="D15" s="106" t="s">
        <v>73</v>
      </c>
      <c r="E15" s="112">
        <v>68.099999999999994</v>
      </c>
      <c r="F15" s="120"/>
      <c r="G15" s="121"/>
      <c r="H15" s="122">
        <f>ROUND(F15*G15,2)</f>
        <v>0</v>
      </c>
      <c r="I15" s="121"/>
      <c r="J15" s="121"/>
      <c r="K15" s="179">
        <f t="shared" ref="K15:K25" si="0">ROUND(H15+J15+I15,2)</f>
        <v>0</v>
      </c>
      <c r="L15" s="184">
        <f t="shared" ref="L15:L25" si="1">ROUND(E15*F15,2)</f>
        <v>0</v>
      </c>
      <c r="M15" s="121">
        <f t="shared" ref="M15:M25" si="2">ROUND(E15*H15,2)</f>
        <v>0</v>
      </c>
      <c r="N15" s="121">
        <f t="shared" ref="N15:N25" si="3">ROUND(E15*I15,2)</f>
        <v>0</v>
      </c>
      <c r="O15" s="121">
        <f t="shared" ref="O15:O25" si="4">ROUND(E15*J15,2)</f>
        <v>0</v>
      </c>
      <c r="P15" s="123">
        <f t="shared" ref="P15:P25" si="5">ROUND(O15+N15+M15,2)</f>
        <v>0</v>
      </c>
      <c r="Q15" s="158"/>
      <c r="R15" s="31"/>
      <c r="S15" s="31"/>
      <c r="T15" s="31"/>
      <c r="U15" s="31"/>
      <c r="V15" s="31"/>
      <c r="W15" s="31"/>
      <c r="X15" s="31"/>
      <c r="Y15" s="31"/>
    </row>
    <row r="16" spans="1:25" ht="16.5" customHeight="1" x14ac:dyDescent="0.2">
      <c r="A16" s="110">
        <v>2</v>
      </c>
      <c r="B16" s="106"/>
      <c r="C16" s="99" t="s">
        <v>130</v>
      </c>
      <c r="D16" s="106" t="s">
        <v>73</v>
      </c>
      <c r="E16" s="112">
        <f>E15*1.03</f>
        <v>70.143000000000001</v>
      </c>
      <c r="F16" s="120"/>
      <c r="G16" s="121"/>
      <c r="H16" s="122"/>
      <c r="I16" s="121"/>
      <c r="J16" s="121"/>
      <c r="K16" s="179">
        <f t="shared" si="0"/>
        <v>0</v>
      </c>
      <c r="L16" s="184">
        <f t="shared" si="1"/>
        <v>0</v>
      </c>
      <c r="M16" s="121">
        <f t="shared" si="2"/>
        <v>0</v>
      </c>
      <c r="N16" s="121">
        <f t="shared" si="3"/>
        <v>0</v>
      </c>
      <c r="O16" s="121">
        <f t="shared" si="4"/>
        <v>0</v>
      </c>
      <c r="P16" s="123">
        <f t="shared" si="5"/>
        <v>0</v>
      </c>
      <c r="Q16" s="158"/>
      <c r="R16" s="159"/>
      <c r="S16" s="159"/>
      <c r="T16" s="159"/>
      <c r="U16" s="159"/>
      <c r="V16" s="159"/>
      <c r="W16" s="159"/>
      <c r="X16" s="159"/>
      <c r="Y16" s="159"/>
    </row>
    <row r="17" spans="1:25" ht="13.2" x14ac:dyDescent="0.2">
      <c r="A17" s="110">
        <v>3</v>
      </c>
      <c r="B17" s="106"/>
      <c r="C17" s="99" t="s">
        <v>587</v>
      </c>
      <c r="D17" s="106" t="s">
        <v>89</v>
      </c>
      <c r="E17" s="112">
        <f>E15*1.2*0.03</f>
        <v>2.4515999999999996</v>
      </c>
      <c r="F17" s="120"/>
      <c r="G17" s="121"/>
      <c r="H17" s="122"/>
      <c r="I17" s="121"/>
      <c r="J17" s="121"/>
      <c r="K17" s="179">
        <f t="shared" si="0"/>
        <v>0</v>
      </c>
      <c r="L17" s="184">
        <f t="shared" si="1"/>
        <v>0</v>
      </c>
      <c r="M17" s="121">
        <f t="shared" si="2"/>
        <v>0</v>
      </c>
      <c r="N17" s="121">
        <f t="shared" si="3"/>
        <v>0</v>
      </c>
      <c r="O17" s="121">
        <f t="shared" si="4"/>
        <v>0</v>
      </c>
      <c r="P17" s="123">
        <f t="shared" si="5"/>
        <v>0</v>
      </c>
      <c r="Q17" s="158"/>
      <c r="R17" s="159"/>
      <c r="S17" s="159"/>
      <c r="T17" s="159"/>
      <c r="U17" s="159"/>
      <c r="V17" s="159"/>
      <c r="W17" s="159"/>
      <c r="X17" s="159"/>
      <c r="Y17" s="159"/>
    </row>
    <row r="18" spans="1:25" ht="13.2" x14ac:dyDescent="0.2">
      <c r="A18" s="110">
        <v>4</v>
      </c>
      <c r="B18" s="106"/>
      <c r="C18" s="99" t="s">
        <v>588</v>
      </c>
      <c r="D18" s="106" t="s">
        <v>89</v>
      </c>
      <c r="E18" s="112">
        <f>E15*0.25*1.2</f>
        <v>20.429999999999996</v>
      </c>
      <c r="F18" s="120"/>
      <c r="G18" s="121"/>
      <c r="H18" s="122"/>
      <c r="I18" s="121"/>
      <c r="J18" s="121"/>
      <c r="K18" s="179">
        <f t="shared" si="0"/>
        <v>0</v>
      </c>
      <c r="L18" s="184">
        <f t="shared" si="1"/>
        <v>0</v>
      </c>
      <c r="M18" s="121">
        <f t="shared" si="2"/>
        <v>0</v>
      </c>
      <c r="N18" s="121">
        <f t="shared" si="3"/>
        <v>0</v>
      </c>
      <c r="O18" s="121">
        <f t="shared" si="4"/>
        <v>0</v>
      </c>
      <c r="P18" s="123">
        <f t="shared" si="5"/>
        <v>0</v>
      </c>
      <c r="Q18" s="158"/>
      <c r="R18" s="159"/>
      <c r="S18" s="159"/>
      <c r="T18" s="159"/>
      <c r="U18" s="159"/>
      <c r="V18" s="159"/>
      <c r="W18" s="159"/>
      <c r="X18" s="159"/>
      <c r="Y18" s="159"/>
    </row>
    <row r="19" spans="1:25" ht="13.2" x14ac:dyDescent="0.2">
      <c r="A19" s="110">
        <v>5</v>
      </c>
      <c r="B19" s="106"/>
      <c r="C19" s="99" t="s">
        <v>589</v>
      </c>
      <c r="D19" s="106" t="s">
        <v>89</v>
      </c>
      <c r="E19" s="112">
        <f>E15*0.9*1.2</f>
        <v>73.548000000000002</v>
      </c>
      <c r="F19" s="120"/>
      <c r="G19" s="121"/>
      <c r="H19" s="122"/>
      <c r="I19" s="121"/>
      <c r="J19" s="121"/>
      <c r="K19" s="179"/>
      <c r="L19" s="184">
        <f t="shared" si="1"/>
        <v>0</v>
      </c>
      <c r="M19" s="121">
        <f t="shared" si="2"/>
        <v>0</v>
      </c>
      <c r="N19" s="121">
        <f t="shared" si="3"/>
        <v>0</v>
      </c>
      <c r="O19" s="121">
        <f>ROUND(E19*J19,2)</f>
        <v>0</v>
      </c>
      <c r="P19" s="123">
        <f t="shared" si="5"/>
        <v>0</v>
      </c>
      <c r="Q19" s="158"/>
      <c r="R19" s="159"/>
      <c r="S19" s="159"/>
      <c r="T19" s="210"/>
      <c r="U19" s="159"/>
      <c r="V19" s="159"/>
      <c r="W19" s="159"/>
      <c r="X19" s="159"/>
      <c r="Y19" s="159"/>
    </row>
    <row r="20" spans="1:25" ht="13.2" x14ac:dyDescent="0.2">
      <c r="A20" s="110">
        <v>6</v>
      </c>
      <c r="B20" s="106"/>
      <c r="C20" s="99" t="s">
        <v>131</v>
      </c>
      <c r="D20" s="106" t="s">
        <v>62</v>
      </c>
      <c r="E20" s="112">
        <f>92.45*1.05</f>
        <v>97.072500000000005</v>
      </c>
      <c r="F20" s="120"/>
      <c r="G20" s="121"/>
      <c r="H20" s="122"/>
      <c r="I20" s="121"/>
      <c r="J20" s="121"/>
      <c r="K20" s="179">
        <f t="shared" si="0"/>
        <v>0</v>
      </c>
      <c r="L20" s="184">
        <f t="shared" si="1"/>
        <v>0</v>
      </c>
      <c r="M20" s="121">
        <f t="shared" si="2"/>
        <v>0</v>
      </c>
      <c r="N20" s="121">
        <f t="shared" si="3"/>
        <v>0</v>
      </c>
      <c r="O20" s="121">
        <f t="shared" si="4"/>
        <v>0</v>
      </c>
      <c r="P20" s="123">
        <f t="shared" si="5"/>
        <v>0</v>
      </c>
      <c r="Q20" s="158"/>
      <c r="R20" s="159"/>
      <c r="S20" s="159"/>
      <c r="T20" s="159"/>
      <c r="U20" s="159"/>
      <c r="V20" s="159"/>
      <c r="W20" s="159"/>
      <c r="X20" s="159"/>
      <c r="Y20" s="159"/>
    </row>
    <row r="21" spans="1:25" ht="13.2" x14ac:dyDescent="0.2">
      <c r="A21" s="110">
        <v>7</v>
      </c>
      <c r="B21" s="106"/>
      <c r="C21" s="99" t="s">
        <v>132</v>
      </c>
      <c r="D21" s="106" t="s">
        <v>89</v>
      </c>
      <c r="E21" s="112">
        <f>E20*0.3*0.2</f>
        <v>5.8243499999999999</v>
      </c>
      <c r="F21" s="120"/>
      <c r="G21" s="121"/>
      <c r="H21" s="122"/>
      <c r="I21" s="121"/>
      <c r="J21" s="121"/>
      <c r="K21" s="179">
        <f t="shared" si="0"/>
        <v>0</v>
      </c>
      <c r="L21" s="184">
        <f t="shared" si="1"/>
        <v>0</v>
      </c>
      <c r="M21" s="121">
        <f t="shared" si="2"/>
        <v>0</v>
      </c>
      <c r="N21" s="121">
        <f t="shared" si="3"/>
        <v>0</v>
      </c>
      <c r="O21" s="121">
        <f t="shared" si="4"/>
        <v>0</v>
      </c>
      <c r="P21" s="123">
        <f t="shared" si="5"/>
        <v>0</v>
      </c>
      <c r="Q21" s="158"/>
      <c r="R21" s="159"/>
      <c r="S21" s="159"/>
      <c r="T21" s="159"/>
      <c r="U21" s="159"/>
      <c r="V21" s="159"/>
      <c r="W21" s="159"/>
      <c r="X21" s="159"/>
      <c r="Y21" s="159"/>
    </row>
    <row r="22" spans="1:25" ht="13.2" x14ac:dyDescent="0.2">
      <c r="A22" s="110">
        <v>8</v>
      </c>
      <c r="B22" s="106" t="s">
        <v>60</v>
      </c>
      <c r="C22" s="100" t="s">
        <v>590</v>
      </c>
      <c r="D22" s="106" t="s">
        <v>73</v>
      </c>
      <c r="E22" s="112">
        <v>4</v>
      </c>
      <c r="F22" s="120"/>
      <c r="G22" s="121"/>
      <c r="H22" s="122">
        <f>ROUND(F22*G22,2)</f>
        <v>0</v>
      </c>
      <c r="I22" s="121"/>
      <c r="J22" s="121"/>
      <c r="K22" s="179">
        <f t="shared" si="0"/>
        <v>0</v>
      </c>
      <c r="L22" s="184">
        <f t="shared" si="1"/>
        <v>0</v>
      </c>
      <c r="M22" s="121">
        <f t="shared" si="2"/>
        <v>0</v>
      </c>
      <c r="N22" s="121">
        <f t="shared" si="3"/>
        <v>0</v>
      </c>
      <c r="O22" s="121">
        <f t="shared" si="4"/>
        <v>0</v>
      </c>
      <c r="P22" s="123">
        <f t="shared" si="5"/>
        <v>0</v>
      </c>
      <c r="Q22" s="158"/>
      <c r="R22" s="159"/>
      <c r="S22" s="159"/>
      <c r="T22" s="159"/>
      <c r="U22" s="159"/>
      <c r="V22" s="159"/>
      <c r="W22" s="159"/>
      <c r="X22" s="159"/>
      <c r="Y22" s="159"/>
    </row>
    <row r="23" spans="1:25" ht="26.4" x14ac:dyDescent="0.2">
      <c r="A23" s="110">
        <v>9</v>
      </c>
      <c r="B23" s="106" t="s">
        <v>60</v>
      </c>
      <c r="C23" s="100" t="s">
        <v>591</v>
      </c>
      <c r="D23" s="106" t="s">
        <v>62</v>
      </c>
      <c r="E23" s="112">
        <v>4</v>
      </c>
      <c r="F23" s="120"/>
      <c r="G23" s="121"/>
      <c r="H23" s="122">
        <f t="shared" ref="H23:H27" si="6">ROUND(F23*G23,2)</f>
        <v>0</v>
      </c>
      <c r="I23" s="121"/>
      <c r="J23" s="121"/>
      <c r="K23" s="179">
        <f t="shared" si="0"/>
        <v>0</v>
      </c>
      <c r="L23" s="184">
        <f t="shared" si="1"/>
        <v>0</v>
      </c>
      <c r="M23" s="121">
        <f t="shared" si="2"/>
        <v>0</v>
      </c>
      <c r="N23" s="121">
        <f t="shared" si="3"/>
        <v>0</v>
      </c>
      <c r="O23" s="121">
        <f t="shared" si="4"/>
        <v>0</v>
      </c>
      <c r="P23" s="123">
        <f t="shared" si="5"/>
        <v>0</v>
      </c>
      <c r="Q23" s="158"/>
      <c r="R23" s="159"/>
      <c r="S23" s="159"/>
      <c r="T23" s="159"/>
      <c r="U23" s="159"/>
      <c r="V23" s="159"/>
      <c r="W23" s="159"/>
      <c r="X23" s="159"/>
      <c r="Y23" s="159"/>
    </row>
    <row r="24" spans="1:25" ht="13.2" x14ac:dyDescent="0.2">
      <c r="A24" s="110">
        <v>10</v>
      </c>
      <c r="B24" s="106" t="s">
        <v>60</v>
      </c>
      <c r="C24" s="100" t="s">
        <v>592</v>
      </c>
      <c r="D24" s="106" t="s">
        <v>62</v>
      </c>
      <c r="E24" s="112">
        <v>4</v>
      </c>
      <c r="F24" s="120"/>
      <c r="G24" s="121"/>
      <c r="H24" s="122">
        <f t="shared" si="6"/>
        <v>0</v>
      </c>
      <c r="I24" s="121"/>
      <c r="J24" s="121"/>
      <c r="K24" s="179">
        <f t="shared" si="0"/>
        <v>0</v>
      </c>
      <c r="L24" s="184">
        <f t="shared" si="1"/>
        <v>0</v>
      </c>
      <c r="M24" s="121">
        <f t="shared" si="2"/>
        <v>0</v>
      </c>
      <c r="N24" s="121">
        <f t="shared" si="3"/>
        <v>0</v>
      </c>
      <c r="O24" s="121">
        <f t="shared" si="4"/>
        <v>0</v>
      </c>
      <c r="P24" s="123">
        <f t="shared" si="5"/>
        <v>0</v>
      </c>
      <c r="Q24" s="158"/>
      <c r="R24" s="159"/>
      <c r="S24" s="159"/>
      <c r="T24" s="159"/>
      <c r="U24" s="159"/>
      <c r="V24" s="159"/>
      <c r="W24" s="159"/>
      <c r="X24" s="159"/>
      <c r="Y24" s="159"/>
    </row>
    <row r="25" spans="1:25" ht="13.2" x14ac:dyDescent="0.2">
      <c r="A25" s="113">
        <v>11</v>
      </c>
      <c r="B25" s="106" t="s">
        <v>60</v>
      </c>
      <c r="C25" s="108" t="s">
        <v>691</v>
      </c>
      <c r="D25" s="135" t="s">
        <v>89</v>
      </c>
      <c r="E25" s="109">
        <f>SUM(E17:E19)</f>
        <v>96.429599999999994</v>
      </c>
      <c r="F25" s="120"/>
      <c r="G25" s="121"/>
      <c r="H25" s="122"/>
      <c r="I25" s="121"/>
      <c r="J25" s="121"/>
      <c r="K25" s="179">
        <f t="shared" si="0"/>
        <v>0</v>
      </c>
      <c r="L25" s="184">
        <f t="shared" si="1"/>
        <v>0</v>
      </c>
      <c r="M25" s="121">
        <f t="shared" si="2"/>
        <v>0</v>
      </c>
      <c r="N25" s="121">
        <f t="shared" si="3"/>
        <v>0</v>
      </c>
      <c r="O25" s="121">
        <f t="shared" si="4"/>
        <v>0</v>
      </c>
      <c r="P25" s="123">
        <f t="shared" si="5"/>
        <v>0</v>
      </c>
      <c r="Q25" s="158"/>
      <c r="R25" s="159"/>
      <c r="S25" s="159"/>
      <c r="T25" s="159"/>
      <c r="U25" s="159"/>
      <c r="V25" s="159"/>
      <c r="W25" s="159"/>
      <c r="X25" s="159"/>
      <c r="Y25" s="159"/>
    </row>
    <row r="26" spans="1:25" ht="13.2" x14ac:dyDescent="0.2">
      <c r="A26" s="163"/>
      <c r="B26" s="164"/>
      <c r="C26" s="165" t="s">
        <v>133</v>
      </c>
      <c r="D26" s="166"/>
      <c r="E26" s="167"/>
      <c r="F26" s="168"/>
      <c r="G26" s="121"/>
      <c r="H26" s="122"/>
      <c r="I26" s="169"/>
      <c r="J26" s="169"/>
      <c r="K26" s="194"/>
      <c r="L26" s="195"/>
      <c r="M26" s="172"/>
      <c r="N26" s="172"/>
      <c r="O26" s="172"/>
      <c r="P26" s="173"/>
      <c r="Q26" s="158"/>
      <c r="R26" s="159"/>
      <c r="S26" s="159"/>
      <c r="T26" s="159"/>
      <c r="U26" s="159"/>
      <c r="V26" s="159"/>
      <c r="W26" s="159"/>
      <c r="X26" s="159"/>
      <c r="Y26" s="159"/>
    </row>
    <row r="27" spans="1:25" ht="39.6" x14ac:dyDescent="0.2">
      <c r="A27" s="110">
        <v>1</v>
      </c>
      <c r="B27" s="106" t="s">
        <v>60</v>
      </c>
      <c r="C27" s="100" t="s">
        <v>595</v>
      </c>
      <c r="D27" s="106" t="s">
        <v>73</v>
      </c>
      <c r="E27" s="112">
        <f>70+251</f>
        <v>321</v>
      </c>
      <c r="F27" s="120"/>
      <c r="G27" s="121"/>
      <c r="H27" s="122">
        <f t="shared" si="6"/>
        <v>0</v>
      </c>
      <c r="I27" s="121"/>
      <c r="J27" s="121"/>
      <c r="K27" s="179">
        <f t="shared" ref="K27:K28" si="7">ROUND(H27+J27+I27,2)</f>
        <v>0</v>
      </c>
      <c r="L27" s="184">
        <f t="shared" ref="L27:L28" si="8">ROUND(E27*F27,2)</f>
        <v>0</v>
      </c>
      <c r="M27" s="121">
        <f t="shared" ref="M27:M28" si="9">ROUND(E27*H27,2)</f>
        <v>0</v>
      </c>
      <c r="N27" s="121">
        <f t="shared" ref="N27:N28" si="10">ROUND(E27*I27,2)</f>
        <v>0</v>
      </c>
      <c r="O27" s="121">
        <f t="shared" ref="O27:O28" si="11">ROUND(E27*J27,2)</f>
        <v>0</v>
      </c>
      <c r="P27" s="123">
        <f t="shared" ref="P27:P28" si="12">ROUND(O27+N27+M27,2)</f>
        <v>0</v>
      </c>
      <c r="Q27" s="292"/>
      <c r="R27" s="295"/>
      <c r="S27" s="295"/>
      <c r="T27" s="295"/>
      <c r="U27" s="295"/>
      <c r="V27" s="159"/>
      <c r="W27" s="159"/>
      <c r="X27" s="159"/>
      <c r="Y27" s="159"/>
    </row>
    <row r="28" spans="1:25" ht="13.8" thickBot="1" x14ac:dyDescent="0.25">
      <c r="A28" s="110">
        <v>2</v>
      </c>
      <c r="B28" s="106"/>
      <c r="C28" s="99" t="s">
        <v>134</v>
      </c>
      <c r="D28" s="106" t="s">
        <v>89</v>
      </c>
      <c r="E28" s="112">
        <f>E27*0.05*1.3</f>
        <v>20.865000000000002</v>
      </c>
      <c r="F28" s="120"/>
      <c r="G28" s="121"/>
      <c r="H28" s="122"/>
      <c r="I28" s="121"/>
      <c r="J28" s="121"/>
      <c r="K28" s="179">
        <f t="shared" si="7"/>
        <v>0</v>
      </c>
      <c r="L28" s="184">
        <f t="shared" si="8"/>
        <v>0</v>
      </c>
      <c r="M28" s="121">
        <f t="shared" si="9"/>
        <v>0</v>
      </c>
      <c r="N28" s="121">
        <f t="shared" si="10"/>
        <v>0</v>
      </c>
      <c r="O28" s="121">
        <f t="shared" si="11"/>
        <v>0</v>
      </c>
      <c r="P28" s="123">
        <f t="shared" si="12"/>
        <v>0</v>
      </c>
      <c r="Q28" s="158"/>
      <c r="R28" s="159"/>
      <c r="S28" s="159"/>
      <c r="T28" s="159"/>
      <c r="U28" s="159"/>
      <c r="V28" s="159"/>
      <c r="W28" s="159"/>
      <c r="X28" s="159"/>
      <c r="Y28" s="159"/>
    </row>
    <row r="29" spans="1:25" ht="10.8" thickBot="1" x14ac:dyDescent="0.25">
      <c r="A29" s="285" t="s">
        <v>700</v>
      </c>
      <c r="B29" s="286"/>
      <c r="C29" s="286"/>
      <c r="D29" s="286"/>
      <c r="E29" s="286"/>
      <c r="F29" s="286"/>
      <c r="G29" s="286"/>
      <c r="H29" s="286"/>
      <c r="I29" s="286"/>
      <c r="J29" s="286"/>
      <c r="K29" s="287"/>
      <c r="L29" s="69">
        <f>SUM(L14:L28)</f>
        <v>0</v>
      </c>
      <c r="M29" s="70">
        <f>SUM(M14:M28)</f>
        <v>0</v>
      </c>
      <c r="N29" s="70">
        <f>SUM(N14:N28)</f>
        <v>0</v>
      </c>
      <c r="O29" s="70">
        <f>SUM(O14:O28)</f>
        <v>0</v>
      </c>
      <c r="P29" s="71">
        <f>SUM(P14:P28)</f>
        <v>0</v>
      </c>
      <c r="Q29" s="148"/>
      <c r="R29" s="148"/>
      <c r="S29" s="148"/>
      <c r="T29" s="148"/>
      <c r="U29" s="148"/>
    </row>
    <row r="30" spans="1:25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25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25" x14ac:dyDescent="0.2">
      <c r="A32" s="1" t="s">
        <v>14</v>
      </c>
      <c r="B32" s="17"/>
      <c r="C32" s="284">
        <f>'Kops a'!C37:H37</f>
        <v>0</v>
      </c>
      <c r="D32" s="284"/>
      <c r="E32" s="284"/>
      <c r="F32" s="284"/>
      <c r="G32" s="284"/>
      <c r="H32" s="284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17"/>
      <c r="B33" s="17"/>
      <c r="C33" s="219" t="s">
        <v>15</v>
      </c>
      <c r="D33" s="219"/>
      <c r="E33" s="219"/>
      <c r="F33" s="219"/>
      <c r="G33" s="219"/>
      <c r="H33" s="219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88" t="str">
        <f>'Kops a'!A40</f>
        <v xml:space="preserve">Tāme sastādīta </v>
      </c>
      <c r="B35" s="89"/>
      <c r="C35" s="89"/>
      <c r="D35" s="89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" t="s">
        <v>37</v>
      </c>
      <c r="B37" s="17"/>
      <c r="C37" s="284">
        <f>'Kops a'!C42:H42</f>
        <v>0</v>
      </c>
      <c r="D37" s="284"/>
      <c r="E37" s="284"/>
      <c r="F37" s="284"/>
      <c r="G37" s="284"/>
      <c r="H37" s="284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17"/>
      <c r="B38" s="17"/>
      <c r="C38" s="219" t="s">
        <v>15</v>
      </c>
      <c r="D38" s="219"/>
      <c r="E38" s="219"/>
      <c r="F38" s="219"/>
      <c r="G38" s="219"/>
      <c r="H38" s="219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x14ac:dyDescent="0.2">
      <c r="A40" s="88" t="s">
        <v>54</v>
      </c>
      <c r="B40" s="89"/>
      <c r="C40" s="93">
        <f>'Kops a'!C45</f>
        <v>0</v>
      </c>
      <c r="D40" s="50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</sheetData>
  <mergeCells count="23">
    <mergeCell ref="Q27:U27"/>
    <mergeCell ref="C38:H38"/>
    <mergeCell ref="A29:K29"/>
    <mergeCell ref="C32:H32"/>
    <mergeCell ref="C33:H33"/>
    <mergeCell ref="C37:H37"/>
    <mergeCell ref="D8:L8"/>
    <mergeCell ref="N9:O9"/>
    <mergeCell ref="L12:P12"/>
    <mergeCell ref="F12:K12"/>
    <mergeCell ref="J9:M9"/>
    <mergeCell ref="A12:A13"/>
    <mergeCell ref="B12:B13"/>
    <mergeCell ref="C12:C13"/>
    <mergeCell ref="D12:D13"/>
    <mergeCell ref="E12:E13"/>
    <mergeCell ref="A9:F9"/>
    <mergeCell ref="C2:I2"/>
    <mergeCell ref="C3:I3"/>
    <mergeCell ref="D5:L5"/>
    <mergeCell ref="D6:L6"/>
    <mergeCell ref="D7:L7"/>
    <mergeCell ref="C4:I4"/>
  </mergeCells>
  <conditionalFormatting sqref="A16:B24 I16:J24 D16:G24 A15:A24 A26:B28 D26:G28 I26:J28 B25">
    <cfRule type="cellIs" dxfId="79" priority="32" operator="equal">
      <formula>0</formula>
    </cfRule>
  </conditionalFormatting>
  <conditionalFormatting sqref="N9:O9">
    <cfRule type="cellIs" dxfId="78" priority="31" operator="equal">
      <formula>0</formula>
    </cfRule>
  </conditionalFormatting>
  <conditionalFormatting sqref="A9:F9">
    <cfRule type="containsText" dxfId="77" priority="29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76" priority="28" operator="equal">
      <formula>0</formula>
    </cfRule>
  </conditionalFormatting>
  <conditionalFormatting sqref="O10">
    <cfRule type="cellIs" dxfId="75" priority="27" operator="equal">
      <formula>"20__. gada __. _________"</formula>
    </cfRule>
  </conditionalFormatting>
  <conditionalFormatting sqref="A29:K29">
    <cfRule type="containsText" dxfId="74" priority="26" operator="containsText" text="Tiešās izmaksas kopā, t. sk. darba devēja sociālais nodoklis __.__% ">
      <formula>NOT(ISERROR(SEARCH("Tiešās izmaksas kopā, t. sk. darba devēja sociālais nodoklis __.__% ",A29)))</formula>
    </cfRule>
  </conditionalFormatting>
  <conditionalFormatting sqref="H14:H24 K14:P24 L29:P29 K26:P28 H26:H28">
    <cfRule type="cellIs" dxfId="73" priority="21" operator="equal">
      <formula>0</formula>
    </cfRule>
  </conditionalFormatting>
  <conditionalFormatting sqref="C4:I4">
    <cfRule type="cellIs" dxfId="72" priority="20" operator="equal">
      <formula>0</formula>
    </cfRule>
  </conditionalFormatting>
  <conditionalFormatting sqref="C16:C24 C26:C28">
    <cfRule type="cellIs" dxfId="71" priority="19" operator="equal">
      <formula>0</formula>
    </cfRule>
  </conditionalFormatting>
  <conditionalFormatting sqref="D5:L8">
    <cfRule type="cellIs" dxfId="70" priority="16" operator="equal">
      <formula>0</formula>
    </cfRule>
  </conditionalFormatting>
  <conditionalFormatting sqref="A14:B14 D14:G14 F15:G15 A15 A19:A24 A26:A28">
    <cfRule type="cellIs" dxfId="69" priority="15" operator="equal">
      <formula>0</formula>
    </cfRule>
  </conditionalFormatting>
  <conditionalFormatting sqref="C14">
    <cfRule type="cellIs" dxfId="68" priority="14" operator="equal">
      <formula>0</formula>
    </cfRule>
  </conditionalFormatting>
  <conditionalFormatting sqref="I14:J15">
    <cfRule type="cellIs" dxfId="67" priority="13" operator="equal">
      <formula>0</formula>
    </cfRule>
  </conditionalFormatting>
  <conditionalFormatting sqref="P10">
    <cfRule type="cellIs" dxfId="66" priority="12" operator="equal">
      <formula>"20__. gada __. _________"</formula>
    </cfRule>
  </conditionalFormatting>
  <conditionalFormatting sqref="C37:H37">
    <cfRule type="cellIs" dxfId="65" priority="9" operator="equal">
      <formula>0</formula>
    </cfRule>
  </conditionalFormatting>
  <conditionalFormatting sqref="C32:H32">
    <cfRule type="cellIs" dxfId="64" priority="8" operator="equal">
      <formula>0</formula>
    </cfRule>
  </conditionalFormatting>
  <conditionalFormatting sqref="C37:H37 C40 C32:H32">
    <cfRule type="cellIs" dxfId="63" priority="7" operator="equal">
      <formula>0</formula>
    </cfRule>
  </conditionalFormatting>
  <conditionalFormatting sqref="D1">
    <cfRule type="cellIs" dxfId="62" priority="6" operator="equal">
      <formula>0</formula>
    </cfRule>
  </conditionalFormatting>
  <conditionalFormatting sqref="D15">
    <cfRule type="cellIs" dxfId="61" priority="3" operator="equal">
      <formula>0</formula>
    </cfRule>
  </conditionalFormatting>
  <conditionalFormatting sqref="B15 E15">
    <cfRule type="cellIs" dxfId="60" priority="5" operator="equal">
      <formula>0</formula>
    </cfRule>
  </conditionalFormatting>
  <conditionalFormatting sqref="C15">
    <cfRule type="cellIs" dxfId="59" priority="4" operator="equal">
      <formula>0</formula>
    </cfRule>
  </conditionalFormatting>
  <conditionalFormatting sqref="I25:J25 A25 C25:G25">
    <cfRule type="cellIs" dxfId="58" priority="2" operator="equal">
      <formula>0</formula>
    </cfRule>
  </conditionalFormatting>
  <conditionalFormatting sqref="H25 K25:P25">
    <cfRule type="cellIs" dxfId="57" priority="1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9C848299-F747-4D4C-BE47-58A1BBDB8A5B}">
            <xm:f>NOT(ISERROR(SEARCH("Tāme sastādīta ____. gada ___. ______________",A35)))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A35</xm:sqref>
        </x14:conditionalFormatting>
        <x14:conditionalFormatting xmlns:xm="http://schemas.microsoft.com/office/excel/2006/main">
          <x14:cfRule type="containsText" priority="10" operator="containsText" id="{1A9581D5-9790-4D5D-94E5-4E7B8C258AD0}">
            <xm:f>NOT(ISERROR(SEARCH("Sertifikāta Nr. _________________________________",A40)))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A40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1:P30"/>
  <sheetViews>
    <sheetView workbookViewId="0">
      <selection activeCell="M10" sqref="M10"/>
    </sheetView>
  </sheetViews>
  <sheetFormatPr defaultColWidth="9.109375" defaultRowHeight="10.199999999999999" x14ac:dyDescent="0.2"/>
  <cols>
    <col min="1" max="1" width="4.5546875" style="1" customWidth="1"/>
    <col min="2" max="2" width="9.44140625" style="1" bestFit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8" width="9.109375" style="1" customWidth="1"/>
    <col min="9" max="9" width="8.33203125" style="1" customWidth="1"/>
    <col min="10" max="10" width="6.6640625" style="1" customWidth="1"/>
    <col min="11" max="11" width="8.44140625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1">
        <f>'Kops a'!A25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267" t="s">
        <v>596</v>
      </c>
      <c r="D2" s="267"/>
      <c r="E2" s="267"/>
      <c r="F2" s="267"/>
      <c r="G2" s="267"/>
      <c r="H2" s="267"/>
      <c r="I2" s="267"/>
      <c r="J2" s="29"/>
    </row>
    <row r="3" spans="1:16" x14ac:dyDescent="0.2">
      <c r="A3" s="30"/>
      <c r="B3" s="30"/>
      <c r="C3" s="228" t="s">
        <v>17</v>
      </c>
      <c r="D3" s="228"/>
      <c r="E3" s="228"/>
      <c r="F3" s="228"/>
      <c r="G3" s="228"/>
      <c r="H3" s="228"/>
      <c r="I3" s="228"/>
      <c r="J3" s="30"/>
    </row>
    <row r="4" spans="1:16" x14ac:dyDescent="0.2">
      <c r="A4" s="30"/>
      <c r="B4" s="30"/>
      <c r="C4" s="268" t="s">
        <v>52</v>
      </c>
      <c r="D4" s="268"/>
      <c r="E4" s="268"/>
      <c r="F4" s="268"/>
      <c r="G4" s="268"/>
      <c r="H4" s="268"/>
      <c r="I4" s="268"/>
      <c r="J4" s="30"/>
    </row>
    <row r="5" spans="1:16" x14ac:dyDescent="0.2">
      <c r="A5" s="23"/>
      <c r="B5" s="23"/>
      <c r="C5" s="27" t="s">
        <v>5</v>
      </c>
      <c r="D5" s="281" t="str">
        <f>'Kops a'!D6</f>
        <v>DAUDZDZĪVOKĻU DZĪVOJAMĀ ĒKA</v>
      </c>
      <c r="E5" s="281"/>
      <c r="F5" s="281"/>
      <c r="G5" s="281"/>
      <c r="H5" s="281"/>
      <c r="I5" s="281"/>
      <c r="J5" s="281"/>
      <c r="K5" s="281"/>
      <c r="L5" s="281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281" t="str">
        <f>'Kops a'!D7</f>
        <v>ENERGOEFEKTIVITĀTES PAAUGSTINĀŠANA DAUDZDZĪVOKĻU DZĪVOJAMAI ĒKAI</v>
      </c>
      <c r="E6" s="281"/>
      <c r="F6" s="281"/>
      <c r="G6" s="281"/>
      <c r="H6" s="281"/>
      <c r="I6" s="281"/>
      <c r="J6" s="281"/>
      <c r="K6" s="281"/>
      <c r="L6" s="281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281" t="str">
        <f>'Kops a'!D8</f>
        <v>Pasta iela 34, Jelgava, ēkas kad. apz. 0900 001 0177 001</v>
      </c>
      <c r="E7" s="281"/>
      <c r="F7" s="281"/>
      <c r="G7" s="281"/>
      <c r="H7" s="281"/>
      <c r="I7" s="281"/>
      <c r="J7" s="281"/>
      <c r="K7" s="281"/>
      <c r="L7" s="281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281">
        <f>'Kops a'!D9</f>
        <v>0</v>
      </c>
      <c r="E8" s="281"/>
      <c r="F8" s="281"/>
      <c r="G8" s="281"/>
      <c r="H8" s="281"/>
      <c r="I8" s="281"/>
      <c r="J8" s="281"/>
      <c r="K8" s="281"/>
      <c r="L8" s="281"/>
      <c r="M8" s="17"/>
      <c r="N8" s="17"/>
      <c r="O8" s="17"/>
      <c r="P8" s="17"/>
    </row>
    <row r="9" spans="1:16" ht="11.25" customHeight="1" x14ac:dyDescent="0.2">
      <c r="A9" s="269" t="s">
        <v>702</v>
      </c>
      <c r="B9" s="269"/>
      <c r="C9" s="269"/>
      <c r="D9" s="269"/>
      <c r="E9" s="269"/>
      <c r="F9" s="269"/>
      <c r="G9" s="31"/>
      <c r="H9" s="31"/>
      <c r="I9" s="31"/>
      <c r="J9" s="273" t="s">
        <v>39</v>
      </c>
      <c r="K9" s="273"/>
      <c r="L9" s="273"/>
      <c r="M9" s="273"/>
      <c r="N9" s="280">
        <f>P18</f>
        <v>0</v>
      </c>
      <c r="O9" s="280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1"/>
      <c r="P10" s="90" t="str">
        <f>A24</f>
        <v xml:space="preserve">Tāme sastādīta 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239" t="s">
        <v>23</v>
      </c>
      <c r="B12" s="275" t="s">
        <v>40</v>
      </c>
      <c r="C12" s="271" t="s">
        <v>41</v>
      </c>
      <c r="D12" s="278" t="s">
        <v>42</v>
      </c>
      <c r="E12" s="282" t="s">
        <v>43</v>
      </c>
      <c r="F12" s="270" t="s">
        <v>44</v>
      </c>
      <c r="G12" s="271"/>
      <c r="H12" s="271"/>
      <c r="I12" s="271"/>
      <c r="J12" s="271"/>
      <c r="K12" s="272"/>
      <c r="L12" s="270" t="s">
        <v>45</v>
      </c>
      <c r="M12" s="271"/>
      <c r="N12" s="271"/>
      <c r="O12" s="271"/>
      <c r="P12" s="272"/>
    </row>
    <row r="13" spans="1:16" ht="126.75" customHeight="1" thickBot="1" x14ac:dyDescent="0.25">
      <c r="A13" s="274"/>
      <c r="B13" s="276"/>
      <c r="C13" s="277"/>
      <c r="D13" s="279"/>
      <c r="E13" s="283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ht="13.2" x14ac:dyDescent="0.2">
      <c r="A14" s="101"/>
      <c r="B14" s="102"/>
      <c r="C14" s="103" t="s">
        <v>593</v>
      </c>
      <c r="D14" s="104"/>
      <c r="E14" s="105"/>
      <c r="F14" s="138"/>
      <c r="G14" s="121"/>
      <c r="H14" s="139"/>
      <c r="I14" s="139"/>
      <c r="J14" s="139"/>
      <c r="K14" s="186"/>
      <c r="L14" s="187"/>
      <c r="M14" s="131"/>
      <c r="N14" s="131"/>
      <c r="O14" s="131"/>
      <c r="P14" s="133"/>
    </row>
    <row r="15" spans="1:16" ht="26.4" x14ac:dyDescent="0.2">
      <c r="A15" s="110">
        <v>1</v>
      </c>
      <c r="B15" s="106" t="s">
        <v>60</v>
      </c>
      <c r="C15" s="111" t="s">
        <v>594</v>
      </c>
      <c r="D15" s="106" t="s">
        <v>68</v>
      </c>
      <c r="E15" s="112">
        <v>2</v>
      </c>
      <c r="F15" s="120"/>
      <c r="G15" s="121"/>
      <c r="H15" s="122">
        <f>ROUND(F15*G15,2)</f>
        <v>0</v>
      </c>
      <c r="I15" s="121"/>
      <c r="J15" s="121"/>
      <c r="K15" s="179">
        <f t="shared" ref="K15:K17" si="0">ROUND(H15+J15+I15,2)</f>
        <v>0</v>
      </c>
      <c r="L15" s="184">
        <f t="shared" ref="L15:L17" si="1">ROUND(E15*F15,2)</f>
        <v>0</v>
      </c>
      <c r="M15" s="121">
        <f t="shared" ref="M15:M17" si="2">ROUND(E15*H15,2)</f>
        <v>0</v>
      </c>
      <c r="N15" s="121">
        <f t="shared" ref="N15:N17" si="3">ROUND(E15*I15,2)</f>
        <v>0</v>
      </c>
      <c r="O15" s="121">
        <f t="shared" ref="O15:O17" si="4">ROUND(E15*J15,2)</f>
        <v>0</v>
      </c>
      <c r="P15" s="123">
        <f t="shared" ref="P15:P17" si="5">ROUND(O15+N15+M15,2)</f>
        <v>0</v>
      </c>
    </row>
    <row r="16" spans="1:16" ht="66" x14ac:dyDescent="0.2">
      <c r="A16" s="110">
        <v>2</v>
      </c>
      <c r="B16" s="106" t="s">
        <v>60</v>
      </c>
      <c r="C16" s="111" t="s">
        <v>697</v>
      </c>
      <c r="D16" s="106" t="s">
        <v>68</v>
      </c>
      <c r="E16" s="112">
        <v>1</v>
      </c>
      <c r="F16" s="120"/>
      <c r="G16" s="121"/>
      <c r="H16" s="122">
        <f t="shared" ref="H16:H17" si="6">ROUND(F16*G16,2)</f>
        <v>0</v>
      </c>
      <c r="I16" s="121"/>
      <c r="J16" s="121"/>
      <c r="K16" s="179">
        <f t="shared" si="0"/>
        <v>0</v>
      </c>
      <c r="L16" s="184">
        <f t="shared" si="1"/>
        <v>0</v>
      </c>
      <c r="M16" s="121">
        <f t="shared" si="2"/>
        <v>0</v>
      </c>
      <c r="N16" s="121">
        <f t="shared" si="3"/>
        <v>0</v>
      </c>
      <c r="O16" s="121">
        <f t="shared" si="4"/>
        <v>0</v>
      </c>
      <c r="P16" s="123">
        <f>ROUND(O16+N16+M16,2)</f>
        <v>0</v>
      </c>
    </row>
    <row r="17" spans="1:16" ht="66.599999999999994" thickBot="1" x14ac:dyDescent="0.25">
      <c r="A17" s="110">
        <v>3</v>
      </c>
      <c r="B17" s="106" t="s">
        <v>60</v>
      </c>
      <c r="C17" s="111" t="s">
        <v>698</v>
      </c>
      <c r="D17" s="106" t="s">
        <v>68</v>
      </c>
      <c r="E17" s="112">
        <v>1</v>
      </c>
      <c r="F17" s="120"/>
      <c r="G17" s="121"/>
      <c r="H17" s="122">
        <f t="shared" si="6"/>
        <v>0</v>
      </c>
      <c r="I17" s="121"/>
      <c r="J17" s="121"/>
      <c r="K17" s="179">
        <f t="shared" si="0"/>
        <v>0</v>
      </c>
      <c r="L17" s="185">
        <f t="shared" si="1"/>
        <v>0</v>
      </c>
      <c r="M17" s="156">
        <f t="shared" si="2"/>
        <v>0</v>
      </c>
      <c r="N17" s="156">
        <f t="shared" si="3"/>
        <v>0</v>
      </c>
      <c r="O17" s="156">
        <f t="shared" si="4"/>
        <v>0</v>
      </c>
      <c r="P17" s="157">
        <f t="shared" si="5"/>
        <v>0</v>
      </c>
    </row>
    <row r="18" spans="1:16" ht="10.8" thickBot="1" x14ac:dyDescent="0.25">
      <c r="A18" s="285" t="s">
        <v>700</v>
      </c>
      <c r="B18" s="286"/>
      <c r="C18" s="286"/>
      <c r="D18" s="286"/>
      <c r="E18" s="286"/>
      <c r="F18" s="286"/>
      <c r="G18" s="286"/>
      <c r="H18" s="286"/>
      <c r="I18" s="286"/>
      <c r="J18" s="286"/>
      <c r="K18" s="287"/>
      <c r="L18" s="69">
        <f>SUM(L14:L17)</f>
        <v>0</v>
      </c>
      <c r="M18" s="70">
        <f>SUM(M14:M17)</f>
        <v>0</v>
      </c>
      <c r="N18" s="70">
        <f>SUM(N14:N17)</f>
        <v>0</v>
      </c>
      <c r="O18" s="70">
        <f>SUM(O14:O17)</f>
        <v>0</v>
      </c>
      <c r="P18" s="71">
        <f>SUM(P14:P17)</f>
        <v>0</v>
      </c>
    </row>
    <row r="19" spans="1:16" x14ac:dyDescent="0.2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x14ac:dyDescent="0.2">
      <c r="A21" s="1" t="s">
        <v>14</v>
      </c>
      <c r="B21" s="17"/>
      <c r="C21" s="284">
        <f>'Kops a'!C37:H37</f>
        <v>0</v>
      </c>
      <c r="D21" s="284"/>
      <c r="E21" s="284"/>
      <c r="F21" s="284"/>
      <c r="G21" s="284"/>
      <c r="H21" s="284"/>
      <c r="I21" s="17"/>
      <c r="J21" s="17"/>
      <c r="K21" s="17"/>
      <c r="L21" s="17"/>
      <c r="M21" s="17"/>
      <c r="N21" s="17"/>
      <c r="O21" s="17"/>
      <c r="P21" s="17"/>
    </row>
    <row r="22" spans="1:16" x14ac:dyDescent="0.2">
      <c r="A22" s="17"/>
      <c r="B22" s="17"/>
      <c r="C22" s="219" t="s">
        <v>15</v>
      </c>
      <c r="D22" s="219"/>
      <c r="E22" s="219"/>
      <c r="F22" s="219"/>
      <c r="G22" s="219"/>
      <c r="H22" s="219"/>
      <c r="I22" s="17"/>
      <c r="J22" s="17"/>
      <c r="K22" s="17"/>
      <c r="L22" s="17"/>
      <c r="M22" s="17"/>
      <c r="N22" s="17"/>
      <c r="O22" s="17"/>
      <c r="P22" s="17"/>
    </row>
    <row r="23" spans="1:16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x14ac:dyDescent="0.2">
      <c r="A24" s="88" t="str">
        <f>'Kops a'!A40</f>
        <v xml:space="preserve">Tāme sastādīta </v>
      </c>
      <c r="B24" s="89"/>
      <c r="C24" s="89"/>
      <c r="D24" s="89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x14ac:dyDescent="0.2">
      <c r="A26" s="1" t="s">
        <v>37</v>
      </c>
      <c r="B26" s="17"/>
      <c r="C26" s="284">
        <f>'Kops a'!C42:H42</f>
        <v>0</v>
      </c>
      <c r="D26" s="284"/>
      <c r="E26" s="284"/>
      <c r="F26" s="284"/>
      <c r="G26" s="284"/>
      <c r="H26" s="284"/>
      <c r="I26" s="17"/>
      <c r="J26" s="17"/>
      <c r="K26" s="17"/>
      <c r="L26" s="17"/>
      <c r="M26" s="17"/>
      <c r="N26" s="17"/>
      <c r="O26" s="17"/>
      <c r="P26" s="17"/>
    </row>
    <row r="27" spans="1:16" x14ac:dyDescent="0.2">
      <c r="A27" s="17"/>
      <c r="B27" s="17"/>
      <c r="C27" s="219" t="s">
        <v>15</v>
      </c>
      <c r="D27" s="219"/>
      <c r="E27" s="219"/>
      <c r="F27" s="219"/>
      <c r="G27" s="219"/>
      <c r="H27" s="219"/>
      <c r="I27" s="17"/>
      <c r="J27" s="17"/>
      <c r="K27" s="17"/>
      <c r="L27" s="17"/>
      <c r="M27" s="17"/>
      <c r="N27" s="17"/>
      <c r="O27" s="17"/>
      <c r="P27" s="17"/>
    </row>
    <row r="28" spans="1:16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2">
      <c r="A29" s="88" t="s">
        <v>54</v>
      </c>
      <c r="B29" s="89"/>
      <c r="C29" s="93">
        <f>'Kops a'!C45</f>
        <v>0</v>
      </c>
      <c r="D29" s="50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</sheetData>
  <mergeCells count="22">
    <mergeCell ref="C27:H27"/>
    <mergeCell ref="C4:I4"/>
    <mergeCell ref="F12:K12"/>
    <mergeCell ref="J9:M9"/>
    <mergeCell ref="D8:L8"/>
    <mergeCell ref="A18:K18"/>
    <mergeCell ref="C21:H21"/>
    <mergeCell ref="C22:H22"/>
    <mergeCell ref="C26:H26"/>
    <mergeCell ref="A9:F9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17 I15:J17 D15:G17">
    <cfRule type="cellIs" dxfId="54" priority="26" operator="equal">
      <formula>0</formula>
    </cfRule>
  </conditionalFormatting>
  <conditionalFormatting sqref="N9:O9">
    <cfRule type="cellIs" dxfId="53" priority="25" operator="equal">
      <formula>0</formula>
    </cfRule>
  </conditionalFormatting>
  <conditionalFormatting sqref="A9:F9">
    <cfRule type="containsText" dxfId="52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51" priority="22" operator="equal">
      <formula>0</formula>
    </cfRule>
  </conditionalFormatting>
  <conditionalFormatting sqref="O10">
    <cfRule type="cellIs" dxfId="50" priority="21" operator="equal">
      <formula>"20__. gada __. _________"</formula>
    </cfRule>
  </conditionalFormatting>
  <conditionalFormatting sqref="A18:K18">
    <cfRule type="containsText" dxfId="49" priority="20" operator="containsText" text="Tiešās izmaksas kopā, t. sk. darba devēja sociālais nodoklis __.__% ">
      <formula>NOT(ISERROR(SEARCH("Tiešās izmaksas kopā, t. sk. darba devēja sociālais nodoklis __.__% ",A18)))</formula>
    </cfRule>
  </conditionalFormatting>
  <conditionalFormatting sqref="H14:H17 K14:P17 L18:P18">
    <cfRule type="cellIs" dxfId="48" priority="15" operator="equal">
      <formula>0</formula>
    </cfRule>
  </conditionalFormatting>
  <conditionalFormatting sqref="C4:I4">
    <cfRule type="cellIs" dxfId="47" priority="14" operator="equal">
      <formula>0</formula>
    </cfRule>
  </conditionalFormatting>
  <conditionalFormatting sqref="C15:C17">
    <cfRule type="cellIs" dxfId="46" priority="13" operator="equal">
      <formula>0</formula>
    </cfRule>
  </conditionalFormatting>
  <conditionalFormatting sqref="D5:L8">
    <cfRule type="cellIs" dxfId="45" priority="11" operator="equal">
      <formula>0</formula>
    </cfRule>
  </conditionalFormatting>
  <conditionalFormatting sqref="A14:B14 D14:G14">
    <cfRule type="cellIs" dxfId="44" priority="10" operator="equal">
      <formula>0</formula>
    </cfRule>
  </conditionalFormatting>
  <conditionalFormatting sqref="C14">
    <cfRule type="cellIs" dxfId="43" priority="9" operator="equal">
      <formula>0</formula>
    </cfRule>
  </conditionalFormatting>
  <conditionalFormatting sqref="I14:J14">
    <cfRule type="cellIs" dxfId="42" priority="8" operator="equal">
      <formula>0</formula>
    </cfRule>
  </conditionalFormatting>
  <conditionalFormatting sqref="P10">
    <cfRule type="cellIs" dxfId="41" priority="7" operator="equal">
      <formula>"20__. gada __. _________"</formula>
    </cfRule>
  </conditionalFormatting>
  <conditionalFormatting sqref="C26:H26">
    <cfRule type="cellIs" dxfId="40" priority="4" operator="equal">
      <formula>0</formula>
    </cfRule>
  </conditionalFormatting>
  <conditionalFormatting sqref="C21:H21">
    <cfRule type="cellIs" dxfId="39" priority="3" operator="equal">
      <formula>0</formula>
    </cfRule>
  </conditionalFormatting>
  <conditionalFormatting sqref="C26:H26 C29 C21:H21">
    <cfRule type="cellIs" dxfId="38" priority="2" operator="equal">
      <formula>0</formula>
    </cfRule>
  </conditionalFormatting>
  <conditionalFormatting sqref="D1">
    <cfRule type="cellIs" dxfId="37" priority="1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160D584C-64FF-402E-862E-BC36A5AEB0A3}">
            <xm:f>NOT(ISERROR(SEARCH("Tāme sastādīta ____. gada ___. ______________",A24)))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A24</xm:sqref>
        </x14:conditionalFormatting>
        <x14:conditionalFormatting xmlns:xm="http://schemas.microsoft.com/office/excel/2006/main">
          <x14:cfRule type="containsText" priority="5" operator="containsText" id="{E1217419-522C-47B8-8672-CC9D11C3FC05}">
            <xm:f>NOT(ISERROR(SEARCH("Sertifikāta Nr. _________________________________",A29)))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A29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/>
  <dimension ref="A1:P113"/>
  <sheetViews>
    <sheetView topLeftCell="A91" workbookViewId="0">
      <selection activeCell="I106" sqref="I106"/>
    </sheetView>
  </sheetViews>
  <sheetFormatPr defaultColWidth="9.109375" defaultRowHeight="10.199999999999999" x14ac:dyDescent="0.2"/>
  <cols>
    <col min="1" max="1" width="4.5546875" style="1" customWidth="1"/>
    <col min="2" max="2" width="9.44140625" style="1" bestFit="1" customWidth="1"/>
    <col min="3" max="3" width="38.44140625" style="1" customWidth="1"/>
    <col min="4" max="4" width="7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1">
        <f>'Kops a'!A26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267" t="s">
        <v>135</v>
      </c>
      <c r="D2" s="267"/>
      <c r="E2" s="267"/>
      <c r="F2" s="267"/>
      <c r="G2" s="267"/>
      <c r="H2" s="267"/>
      <c r="I2" s="267"/>
      <c r="J2" s="29"/>
    </row>
    <row r="3" spans="1:16" x14ac:dyDescent="0.2">
      <c r="A3" s="30"/>
      <c r="B3" s="30"/>
      <c r="C3" s="228" t="s">
        <v>17</v>
      </c>
      <c r="D3" s="228"/>
      <c r="E3" s="228"/>
      <c r="F3" s="228"/>
      <c r="G3" s="228"/>
      <c r="H3" s="228"/>
      <c r="I3" s="228"/>
      <c r="J3" s="30"/>
    </row>
    <row r="4" spans="1:16" x14ac:dyDescent="0.2">
      <c r="A4" s="30"/>
      <c r="B4" s="30"/>
      <c r="C4" s="268" t="s">
        <v>52</v>
      </c>
      <c r="D4" s="268"/>
      <c r="E4" s="268"/>
      <c r="F4" s="268"/>
      <c r="G4" s="268"/>
      <c r="H4" s="268"/>
      <c r="I4" s="268"/>
      <c r="J4" s="30"/>
    </row>
    <row r="5" spans="1:16" x14ac:dyDescent="0.2">
      <c r="A5" s="23"/>
      <c r="B5" s="23"/>
      <c r="C5" s="27" t="s">
        <v>5</v>
      </c>
      <c r="D5" s="281" t="str">
        <f>'Kops a'!D6</f>
        <v>DAUDZDZĪVOKĻU DZĪVOJAMĀ ĒKA</v>
      </c>
      <c r="E5" s="281"/>
      <c r="F5" s="281"/>
      <c r="G5" s="281"/>
      <c r="H5" s="281"/>
      <c r="I5" s="281"/>
      <c r="J5" s="281"/>
      <c r="K5" s="281"/>
      <c r="L5" s="281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281" t="str">
        <f>'Kops a'!D7</f>
        <v>ENERGOEFEKTIVITĀTES PAAUGSTINĀŠANA DAUDZDZĪVOKĻU DZĪVOJAMAI ĒKAI</v>
      </c>
      <c r="E6" s="281"/>
      <c r="F6" s="281"/>
      <c r="G6" s="281"/>
      <c r="H6" s="281"/>
      <c r="I6" s="281"/>
      <c r="J6" s="281"/>
      <c r="K6" s="281"/>
      <c r="L6" s="281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281" t="str">
        <f>'Kops a'!D8</f>
        <v>Pasta iela 34, Jelgava, ēkas kad. apz. 0900 001 0177 001</v>
      </c>
      <c r="E7" s="281"/>
      <c r="F7" s="281"/>
      <c r="G7" s="281"/>
      <c r="H7" s="281"/>
      <c r="I7" s="281"/>
      <c r="J7" s="281"/>
      <c r="K7" s="281"/>
      <c r="L7" s="281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281">
        <f>'Kops a'!D9</f>
        <v>0</v>
      </c>
      <c r="E8" s="281"/>
      <c r="F8" s="281"/>
      <c r="G8" s="281"/>
      <c r="H8" s="281"/>
      <c r="I8" s="281"/>
      <c r="J8" s="281"/>
      <c r="K8" s="281"/>
      <c r="L8" s="281"/>
      <c r="M8" s="17"/>
      <c r="N8" s="17"/>
      <c r="O8" s="17"/>
      <c r="P8" s="17"/>
    </row>
    <row r="9" spans="1:16" ht="11.25" customHeight="1" x14ac:dyDescent="0.2">
      <c r="A9" s="269" t="s">
        <v>702</v>
      </c>
      <c r="B9" s="269"/>
      <c r="C9" s="269"/>
      <c r="D9" s="269"/>
      <c r="E9" s="269"/>
      <c r="F9" s="269"/>
      <c r="G9" s="31"/>
      <c r="H9" s="31"/>
      <c r="I9" s="31"/>
      <c r="J9" s="273" t="s">
        <v>39</v>
      </c>
      <c r="K9" s="273"/>
      <c r="L9" s="273"/>
      <c r="M9" s="273"/>
      <c r="N9" s="280">
        <f>P101</f>
        <v>0</v>
      </c>
      <c r="O9" s="280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1"/>
      <c r="P10" s="90" t="str">
        <f>A107</f>
        <v xml:space="preserve">Tāme sastādīta 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239" t="s">
        <v>23</v>
      </c>
      <c r="B12" s="275" t="s">
        <v>40</v>
      </c>
      <c r="C12" s="271" t="s">
        <v>41</v>
      </c>
      <c r="D12" s="278" t="s">
        <v>42</v>
      </c>
      <c r="E12" s="282" t="s">
        <v>43</v>
      </c>
      <c r="F12" s="270" t="s">
        <v>44</v>
      </c>
      <c r="G12" s="271"/>
      <c r="H12" s="271"/>
      <c r="I12" s="271"/>
      <c r="J12" s="271"/>
      <c r="K12" s="272"/>
      <c r="L12" s="270" t="s">
        <v>45</v>
      </c>
      <c r="M12" s="271"/>
      <c r="N12" s="271"/>
      <c r="O12" s="271"/>
      <c r="P12" s="272"/>
    </row>
    <row r="13" spans="1:16" ht="126.75" customHeight="1" thickBot="1" x14ac:dyDescent="0.25">
      <c r="A13" s="274"/>
      <c r="B13" s="276"/>
      <c r="C13" s="277"/>
      <c r="D13" s="279"/>
      <c r="E13" s="283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ht="13.2" x14ac:dyDescent="0.2">
      <c r="A14" s="101"/>
      <c r="B14" s="102"/>
      <c r="C14" s="103" t="s">
        <v>136</v>
      </c>
      <c r="D14" s="104"/>
      <c r="E14" s="105"/>
      <c r="F14" s="138"/>
      <c r="G14" s="139"/>
      <c r="H14" s="139"/>
      <c r="I14" s="139"/>
      <c r="J14" s="139"/>
      <c r="K14" s="186"/>
      <c r="L14" s="187"/>
      <c r="M14" s="131"/>
      <c r="N14" s="131"/>
      <c r="O14" s="131"/>
      <c r="P14" s="133"/>
    </row>
    <row r="15" spans="1:16" ht="13.2" x14ac:dyDescent="0.2">
      <c r="A15" s="175">
        <v>1</v>
      </c>
      <c r="B15" s="176" t="s">
        <v>60</v>
      </c>
      <c r="C15" s="199" t="s">
        <v>137</v>
      </c>
      <c r="D15" s="176" t="s">
        <v>138</v>
      </c>
      <c r="E15" s="200">
        <v>1</v>
      </c>
      <c r="F15" s="120"/>
      <c r="G15" s="121"/>
      <c r="H15" s="122">
        <f t="shared" ref="H15:H78" si="0">ROUND(F15*G15,2)</f>
        <v>0</v>
      </c>
      <c r="I15" s="121"/>
      <c r="J15" s="121"/>
      <c r="K15" s="179">
        <f t="shared" ref="K15:K91" si="1">ROUND(H15+J15+I15,2)</f>
        <v>0</v>
      </c>
      <c r="L15" s="184">
        <f t="shared" ref="L15:L91" si="2">ROUND(E15*F15,2)</f>
        <v>0</v>
      </c>
      <c r="M15" s="121">
        <f t="shared" ref="M15:M91" si="3">ROUND(E15*H15,2)</f>
        <v>0</v>
      </c>
      <c r="N15" s="121">
        <f t="shared" ref="N15:N91" si="4">ROUND(E15*I15,2)</f>
        <v>0</v>
      </c>
      <c r="O15" s="121">
        <f t="shared" ref="O15:O91" si="5">ROUND(E15*J15,2)</f>
        <v>0</v>
      </c>
      <c r="P15" s="123">
        <f t="shared" ref="P15:P91" si="6">ROUND(O15+N15+M15,2)</f>
        <v>0</v>
      </c>
    </row>
    <row r="16" spans="1:16" ht="26.4" x14ac:dyDescent="0.2">
      <c r="A16" s="175">
        <v>2</v>
      </c>
      <c r="B16" s="176" t="s">
        <v>60</v>
      </c>
      <c r="C16" s="199" t="s">
        <v>597</v>
      </c>
      <c r="D16" s="176" t="s">
        <v>62</v>
      </c>
      <c r="E16" s="200">
        <v>1360</v>
      </c>
      <c r="F16" s="120"/>
      <c r="G16" s="121"/>
      <c r="H16" s="122">
        <f t="shared" si="0"/>
        <v>0</v>
      </c>
      <c r="I16" s="121"/>
      <c r="J16" s="121"/>
      <c r="K16" s="179">
        <f t="shared" si="1"/>
        <v>0</v>
      </c>
      <c r="L16" s="184">
        <f t="shared" si="2"/>
        <v>0</v>
      </c>
      <c r="M16" s="121">
        <f t="shared" si="3"/>
        <v>0</v>
      </c>
      <c r="N16" s="121">
        <f t="shared" si="4"/>
        <v>0</v>
      </c>
      <c r="O16" s="121">
        <f t="shared" si="5"/>
        <v>0</v>
      </c>
      <c r="P16" s="123">
        <f t="shared" si="6"/>
        <v>0</v>
      </c>
    </row>
    <row r="17" spans="1:16" ht="26.4" x14ac:dyDescent="0.2">
      <c r="A17" s="175">
        <v>3</v>
      </c>
      <c r="B17" s="176" t="s">
        <v>60</v>
      </c>
      <c r="C17" s="199" t="s">
        <v>598</v>
      </c>
      <c r="D17" s="176" t="s">
        <v>62</v>
      </c>
      <c r="E17" s="200">
        <v>518</v>
      </c>
      <c r="F17" s="120"/>
      <c r="G17" s="121"/>
      <c r="H17" s="122">
        <f t="shared" si="0"/>
        <v>0</v>
      </c>
      <c r="I17" s="121"/>
      <c r="J17" s="121"/>
      <c r="K17" s="179">
        <f t="shared" si="1"/>
        <v>0</v>
      </c>
      <c r="L17" s="184">
        <f t="shared" si="2"/>
        <v>0</v>
      </c>
      <c r="M17" s="121">
        <f t="shared" si="3"/>
        <v>0</v>
      </c>
      <c r="N17" s="121">
        <f t="shared" si="4"/>
        <v>0</v>
      </c>
      <c r="O17" s="121">
        <f t="shared" si="5"/>
        <v>0</v>
      </c>
      <c r="P17" s="123">
        <f t="shared" si="6"/>
        <v>0</v>
      </c>
    </row>
    <row r="18" spans="1:16" ht="26.4" x14ac:dyDescent="0.2">
      <c r="A18" s="175">
        <v>4</v>
      </c>
      <c r="B18" s="176" t="s">
        <v>60</v>
      </c>
      <c r="C18" s="199" t="s">
        <v>599</v>
      </c>
      <c r="D18" s="176" t="s">
        <v>62</v>
      </c>
      <c r="E18" s="200">
        <v>180</v>
      </c>
      <c r="F18" s="120"/>
      <c r="G18" s="121"/>
      <c r="H18" s="122">
        <f t="shared" si="0"/>
        <v>0</v>
      </c>
      <c r="I18" s="121"/>
      <c r="J18" s="121"/>
      <c r="K18" s="179">
        <f t="shared" si="1"/>
        <v>0</v>
      </c>
      <c r="L18" s="184">
        <f t="shared" si="2"/>
        <v>0</v>
      </c>
      <c r="M18" s="121">
        <f t="shared" si="3"/>
        <v>0</v>
      </c>
      <c r="N18" s="121">
        <f t="shared" si="4"/>
        <v>0</v>
      </c>
      <c r="O18" s="121">
        <f t="shared" si="5"/>
        <v>0</v>
      </c>
      <c r="P18" s="123">
        <f t="shared" si="6"/>
        <v>0</v>
      </c>
    </row>
    <row r="19" spans="1:16" ht="26.4" x14ac:dyDescent="0.2">
      <c r="A19" s="175">
        <v>5</v>
      </c>
      <c r="B19" s="176" t="s">
        <v>60</v>
      </c>
      <c r="C19" s="199" t="s">
        <v>600</v>
      </c>
      <c r="D19" s="176" t="s">
        <v>62</v>
      </c>
      <c r="E19" s="200">
        <v>125</v>
      </c>
      <c r="F19" s="120"/>
      <c r="G19" s="121"/>
      <c r="H19" s="122">
        <f t="shared" si="0"/>
        <v>0</v>
      </c>
      <c r="I19" s="121"/>
      <c r="J19" s="121"/>
      <c r="K19" s="179">
        <f t="shared" si="1"/>
        <v>0</v>
      </c>
      <c r="L19" s="184">
        <f t="shared" si="2"/>
        <v>0</v>
      </c>
      <c r="M19" s="121">
        <f t="shared" si="3"/>
        <v>0</v>
      </c>
      <c r="N19" s="121">
        <f t="shared" si="4"/>
        <v>0</v>
      </c>
      <c r="O19" s="121">
        <f t="shared" si="5"/>
        <v>0</v>
      </c>
      <c r="P19" s="123">
        <f t="shared" si="6"/>
        <v>0</v>
      </c>
    </row>
    <row r="20" spans="1:16" ht="26.4" x14ac:dyDescent="0.2">
      <c r="A20" s="175">
        <v>6</v>
      </c>
      <c r="B20" s="176" t="s">
        <v>60</v>
      </c>
      <c r="C20" s="199" t="s">
        <v>601</v>
      </c>
      <c r="D20" s="176" t="s">
        <v>62</v>
      </c>
      <c r="E20" s="200">
        <v>60</v>
      </c>
      <c r="F20" s="120"/>
      <c r="G20" s="121"/>
      <c r="H20" s="122">
        <f t="shared" si="0"/>
        <v>0</v>
      </c>
      <c r="I20" s="121"/>
      <c r="J20" s="121"/>
      <c r="K20" s="179">
        <f t="shared" si="1"/>
        <v>0</v>
      </c>
      <c r="L20" s="184">
        <f t="shared" si="2"/>
        <v>0</v>
      </c>
      <c r="M20" s="121">
        <f t="shared" si="3"/>
        <v>0</v>
      </c>
      <c r="N20" s="121">
        <f t="shared" si="4"/>
        <v>0</v>
      </c>
      <c r="O20" s="121">
        <f t="shared" si="5"/>
        <v>0</v>
      </c>
      <c r="P20" s="123">
        <f t="shared" si="6"/>
        <v>0</v>
      </c>
    </row>
    <row r="21" spans="1:16" ht="26.4" x14ac:dyDescent="0.2">
      <c r="A21" s="175">
        <v>7</v>
      </c>
      <c r="B21" s="201" t="s">
        <v>60</v>
      </c>
      <c r="C21" s="202" t="s">
        <v>602</v>
      </c>
      <c r="D21" s="203" t="s">
        <v>62</v>
      </c>
      <c r="E21" s="200">
        <v>30</v>
      </c>
      <c r="F21" s="120"/>
      <c r="G21" s="121"/>
      <c r="H21" s="122">
        <f t="shared" si="0"/>
        <v>0</v>
      </c>
      <c r="I21" s="121"/>
      <c r="J21" s="121"/>
      <c r="K21" s="179">
        <f t="shared" si="1"/>
        <v>0</v>
      </c>
      <c r="L21" s="184">
        <f t="shared" si="2"/>
        <v>0</v>
      </c>
      <c r="M21" s="121">
        <f t="shared" si="3"/>
        <v>0</v>
      </c>
      <c r="N21" s="121">
        <f t="shared" si="4"/>
        <v>0</v>
      </c>
      <c r="O21" s="121">
        <f t="shared" si="5"/>
        <v>0</v>
      </c>
      <c r="P21" s="123">
        <f t="shared" si="6"/>
        <v>0</v>
      </c>
    </row>
    <row r="22" spans="1:16" ht="26.4" x14ac:dyDescent="0.2">
      <c r="A22" s="175">
        <v>8</v>
      </c>
      <c r="B22" s="201" t="s">
        <v>60</v>
      </c>
      <c r="C22" s="202" t="s">
        <v>603</v>
      </c>
      <c r="D22" s="203" t="s">
        <v>62</v>
      </c>
      <c r="E22" s="200">
        <v>15</v>
      </c>
      <c r="F22" s="120"/>
      <c r="G22" s="121"/>
      <c r="H22" s="122">
        <f t="shared" si="0"/>
        <v>0</v>
      </c>
      <c r="I22" s="121"/>
      <c r="J22" s="121"/>
      <c r="K22" s="179">
        <f t="shared" si="1"/>
        <v>0</v>
      </c>
      <c r="L22" s="184">
        <f t="shared" si="2"/>
        <v>0</v>
      </c>
      <c r="M22" s="121">
        <f t="shared" si="3"/>
        <v>0</v>
      </c>
      <c r="N22" s="121">
        <f t="shared" si="4"/>
        <v>0</v>
      </c>
      <c r="O22" s="121">
        <f t="shared" si="5"/>
        <v>0</v>
      </c>
      <c r="P22" s="123">
        <f t="shared" si="6"/>
        <v>0</v>
      </c>
    </row>
    <row r="23" spans="1:16" ht="13.2" x14ac:dyDescent="0.2">
      <c r="A23" s="175">
        <v>9</v>
      </c>
      <c r="B23" s="176" t="s">
        <v>60</v>
      </c>
      <c r="C23" s="199" t="s">
        <v>604</v>
      </c>
      <c r="D23" s="176" t="s">
        <v>64</v>
      </c>
      <c r="E23" s="200">
        <v>706</v>
      </c>
      <c r="F23" s="120"/>
      <c r="G23" s="121"/>
      <c r="H23" s="122">
        <f t="shared" si="0"/>
        <v>0</v>
      </c>
      <c r="I23" s="121"/>
      <c r="J23" s="121"/>
      <c r="K23" s="179">
        <f t="shared" si="1"/>
        <v>0</v>
      </c>
      <c r="L23" s="184">
        <f t="shared" si="2"/>
        <v>0</v>
      </c>
      <c r="M23" s="121">
        <f t="shared" si="3"/>
        <v>0</v>
      </c>
      <c r="N23" s="121">
        <f t="shared" si="4"/>
        <v>0</v>
      </c>
      <c r="O23" s="121">
        <f t="shared" si="5"/>
        <v>0</v>
      </c>
      <c r="P23" s="123">
        <f t="shared" si="6"/>
        <v>0</v>
      </c>
    </row>
    <row r="24" spans="1:16" ht="13.2" x14ac:dyDescent="0.2">
      <c r="A24" s="175">
        <v>10</v>
      </c>
      <c r="B24" s="201" t="s">
        <v>60</v>
      </c>
      <c r="C24" s="204" t="s">
        <v>605</v>
      </c>
      <c r="D24" s="203" t="s">
        <v>64</v>
      </c>
      <c r="E24" s="200">
        <v>25</v>
      </c>
      <c r="F24" s="120"/>
      <c r="G24" s="121"/>
      <c r="H24" s="122">
        <f t="shared" si="0"/>
        <v>0</v>
      </c>
      <c r="I24" s="121"/>
      <c r="J24" s="121"/>
      <c r="K24" s="179">
        <f t="shared" si="1"/>
        <v>0</v>
      </c>
      <c r="L24" s="184">
        <f t="shared" si="2"/>
        <v>0</v>
      </c>
      <c r="M24" s="121">
        <f t="shared" si="3"/>
        <v>0</v>
      </c>
      <c r="N24" s="121">
        <f t="shared" si="4"/>
        <v>0</v>
      </c>
      <c r="O24" s="121">
        <f t="shared" si="5"/>
        <v>0</v>
      </c>
      <c r="P24" s="123">
        <f t="shared" si="6"/>
        <v>0</v>
      </c>
    </row>
    <row r="25" spans="1:16" ht="13.2" x14ac:dyDescent="0.2">
      <c r="A25" s="175">
        <v>11</v>
      </c>
      <c r="B25" s="176" t="s">
        <v>60</v>
      </c>
      <c r="C25" s="199" t="s">
        <v>606</v>
      </c>
      <c r="D25" s="176" t="s">
        <v>64</v>
      </c>
      <c r="E25" s="200">
        <v>9</v>
      </c>
      <c r="F25" s="120"/>
      <c r="G25" s="121"/>
      <c r="H25" s="122">
        <f t="shared" si="0"/>
        <v>0</v>
      </c>
      <c r="I25" s="121"/>
      <c r="J25" s="121"/>
      <c r="K25" s="179">
        <f t="shared" si="1"/>
        <v>0</v>
      </c>
      <c r="L25" s="184">
        <f t="shared" si="2"/>
        <v>0</v>
      </c>
      <c r="M25" s="121">
        <f t="shared" si="3"/>
        <v>0</v>
      </c>
      <c r="N25" s="121">
        <f t="shared" si="4"/>
        <v>0</v>
      </c>
      <c r="O25" s="121">
        <f t="shared" si="5"/>
        <v>0</v>
      </c>
      <c r="P25" s="123">
        <f t="shared" si="6"/>
        <v>0</v>
      </c>
    </row>
    <row r="26" spans="1:16" ht="13.2" x14ac:dyDescent="0.2">
      <c r="A26" s="175">
        <v>12</v>
      </c>
      <c r="B26" s="176" t="s">
        <v>60</v>
      </c>
      <c r="C26" s="204" t="s">
        <v>607</v>
      </c>
      <c r="D26" s="203" t="s">
        <v>64</v>
      </c>
      <c r="E26" s="200">
        <v>2</v>
      </c>
      <c r="F26" s="120"/>
      <c r="G26" s="121"/>
      <c r="H26" s="122">
        <f t="shared" si="0"/>
        <v>0</v>
      </c>
      <c r="I26" s="121"/>
      <c r="J26" s="121"/>
      <c r="K26" s="179">
        <f t="shared" si="1"/>
        <v>0</v>
      </c>
      <c r="L26" s="184">
        <f t="shared" si="2"/>
        <v>0</v>
      </c>
      <c r="M26" s="121">
        <f t="shared" si="3"/>
        <v>0</v>
      </c>
      <c r="N26" s="121">
        <f t="shared" si="4"/>
        <v>0</v>
      </c>
      <c r="O26" s="121">
        <f t="shared" si="5"/>
        <v>0</v>
      </c>
      <c r="P26" s="123">
        <f t="shared" si="6"/>
        <v>0</v>
      </c>
    </row>
    <row r="27" spans="1:16" ht="13.2" x14ac:dyDescent="0.2">
      <c r="A27" s="175">
        <v>13</v>
      </c>
      <c r="B27" s="176" t="s">
        <v>60</v>
      </c>
      <c r="C27" s="199" t="s">
        <v>608</v>
      </c>
      <c r="D27" s="176" t="s">
        <v>64</v>
      </c>
      <c r="E27" s="200">
        <v>216</v>
      </c>
      <c r="F27" s="120"/>
      <c r="G27" s="121"/>
      <c r="H27" s="122">
        <f t="shared" si="0"/>
        <v>0</v>
      </c>
      <c r="I27" s="121"/>
      <c r="J27" s="121"/>
      <c r="K27" s="179">
        <f t="shared" si="1"/>
        <v>0</v>
      </c>
      <c r="L27" s="184">
        <f t="shared" si="2"/>
        <v>0</v>
      </c>
      <c r="M27" s="121">
        <f t="shared" si="3"/>
        <v>0</v>
      </c>
      <c r="N27" s="121">
        <f t="shared" si="4"/>
        <v>0</v>
      </c>
      <c r="O27" s="121">
        <f t="shared" si="5"/>
        <v>0</v>
      </c>
      <c r="P27" s="123">
        <f t="shared" si="6"/>
        <v>0</v>
      </c>
    </row>
    <row r="28" spans="1:16" ht="13.2" x14ac:dyDescent="0.2">
      <c r="A28" s="175">
        <v>14</v>
      </c>
      <c r="B28" s="176" t="s">
        <v>60</v>
      </c>
      <c r="C28" s="199" t="s">
        <v>609</v>
      </c>
      <c r="D28" s="176" t="s">
        <v>64</v>
      </c>
      <c r="E28" s="200">
        <v>144</v>
      </c>
      <c r="F28" s="120"/>
      <c r="G28" s="121"/>
      <c r="H28" s="122">
        <f t="shared" si="0"/>
        <v>0</v>
      </c>
      <c r="I28" s="121"/>
      <c r="J28" s="121"/>
      <c r="K28" s="179">
        <f t="shared" si="1"/>
        <v>0</v>
      </c>
      <c r="L28" s="184">
        <f t="shared" si="2"/>
        <v>0</v>
      </c>
      <c r="M28" s="121">
        <f t="shared" si="3"/>
        <v>0</v>
      </c>
      <c r="N28" s="121">
        <f t="shared" si="4"/>
        <v>0</v>
      </c>
      <c r="O28" s="121">
        <f t="shared" si="5"/>
        <v>0</v>
      </c>
      <c r="P28" s="123">
        <f t="shared" si="6"/>
        <v>0</v>
      </c>
    </row>
    <row r="29" spans="1:16" ht="13.2" x14ac:dyDescent="0.2">
      <c r="A29" s="175">
        <v>15</v>
      </c>
      <c r="B29" s="176" t="s">
        <v>60</v>
      </c>
      <c r="C29" s="199" t="s">
        <v>610</v>
      </c>
      <c r="D29" s="176" t="s">
        <v>64</v>
      </c>
      <c r="E29" s="200">
        <v>20</v>
      </c>
      <c r="F29" s="120"/>
      <c r="G29" s="121"/>
      <c r="H29" s="122">
        <f>ROUND(F29*G29,2)</f>
        <v>0</v>
      </c>
      <c r="I29" s="121"/>
      <c r="J29" s="121"/>
      <c r="K29" s="179">
        <f>ROUND(H29+J29+I29,2)</f>
        <v>0</v>
      </c>
      <c r="L29" s="184">
        <f>ROUND(E29*F29,2)</f>
        <v>0</v>
      </c>
      <c r="M29" s="121">
        <f>ROUND(E29*H29,2)</f>
        <v>0</v>
      </c>
      <c r="N29" s="121">
        <f>ROUND(E29*I29,2)</f>
        <v>0</v>
      </c>
      <c r="O29" s="121">
        <f>ROUND(E29*J29,2)</f>
        <v>0</v>
      </c>
      <c r="P29" s="123">
        <f>ROUND(O29+N29+M29,2)</f>
        <v>0</v>
      </c>
    </row>
    <row r="30" spans="1:16" ht="13.2" x14ac:dyDescent="0.2">
      <c r="A30" s="175">
        <v>16</v>
      </c>
      <c r="B30" s="176" t="s">
        <v>60</v>
      </c>
      <c r="C30" s="199" t="s">
        <v>611</v>
      </c>
      <c r="D30" s="176" t="s">
        <v>64</v>
      </c>
      <c r="E30" s="200">
        <v>54</v>
      </c>
      <c r="F30" s="120"/>
      <c r="G30" s="121"/>
      <c r="H30" s="122">
        <f>ROUND(F30*G30,2)</f>
        <v>0</v>
      </c>
      <c r="I30" s="121"/>
      <c r="J30" s="121"/>
      <c r="K30" s="179">
        <f>ROUND(H30+J30+I30,2)</f>
        <v>0</v>
      </c>
      <c r="L30" s="184">
        <f>ROUND(E30*F30,2)</f>
        <v>0</v>
      </c>
      <c r="M30" s="121">
        <f>ROUND(E30*H30,2)</f>
        <v>0</v>
      </c>
      <c r="N30" s="121">
        <f>ROUND(E30*I30,2)</f>
        <v>0</v>
      </c>
      <c r="O30" s="121">
        <f>ROUND(E30*J30,2)</f>
        <v>0</v>
      </c>
      <c r="P30" s="123">
        <f>ROUND(O30+N30+M30,2)</f>
        <v>0</v>
      </c>
    </row>
    <row r="31" spans="1:16" ht="13.2" x14ac:dyDescent="0.2">
      <c r="A31" s="175">
        <v>17</v>
      </c>
      <c r="B31" s="176" t="s">
        <v>60</v>
      </c>
      <c r="C31" s="199" t="s">
        <v>612</v>
      </c>
      <c r="D31" s="176" t="s">
        <v>64</v>
      </c>
      <c r="E31" s="200">
        <v>10</v>
      </c>
      <c r="F31" s="120"/>
      <c r="G31" s="121"/>
      <c r="H31" s="122">
        <f>ROUND(F31*G31,2)</f>
        <v>0</v>
      </c>
      <c r="I31" s="121"/>
      <c r="J31" s="121"/>
      <c r="K31" s="179">
        <f>ROUND(H31+J31+I31,2)</f>
        <v>0</v>
      </c>
      <c r="L31" s="184">
        <f>ROUND(E31*F31,2)</f>
        <v>0</v>
      </c>
      <c r="M31" s="121">
        <f>ROUND(E31*H31,2)</f>
        <v>0</v>
      </c>
      <c r="N31" s="121">
        <f>ROUND(E31*I31,2)</f>
        <v>0</v>
      </c>
      <c r="O31" s="121">
        <f>ROUND(E31*J31,2)</f>
        <v>0</v>
      </c>
      <c r="P31" s="123">
        <f>ROUND(O31+N31+M31,2)</f>
        <v>0</v>
      </c>
    </row>
    <row r="32" spans="1:16" ht="13.2" x14ac:dyDescent="0.2">
      <c r="A32" s="175">
        <v>18</v>
      </c>
      <c r="B32" s="176" t="s">
        <v>60</v>
      </c>
      <c r="C32" s="199" t="s">
        <v>613</v>
      </c>
      <c r="D32" s="176" t="s">
        <v>64</v>
      </c>
      <c r="E32" s="200">
        <v>8</v>
      </c>
      <c r="F32" s="120"/>
      <c r="G32" s="121"/>
      <c r="H32" s="122">
        <f>ROUND(F32*G32,2)</f>
        <v>0</v>
      </c>
      <c r="I32" s="121"/>
      <c r="J32" s="121"/>
      <c r="K32" s="179">
        <f>ROUND(H32+J32+I32,2)</f>
        <v>0</v>
      </c>
      <c r="L32" s="184">
        <f>ROUND(E32*F32,2)</f>
        <v>0</v>
      </c>
      <c r="M32" s="121">
        <f>ROUND(E32*H32,2)</f>
        <v>0</v>
      </c>
      <c r="N32" s="121">
        <f>ROUND(E32*I32,2)</f>
        <v>0</v>
      </c>
      <c r="O32" s="121">
        <f>ROUND(E32*J32,2)</f>
        <v>0</v>
      </c>
      <c r="P32" s="123">
        <f>ROUND(O32+N32+M32,2)</f>
        <v>0</v>
      </c>
    </row>
    <row r="33" spans="1:16" ht="13.2" x14ac:dyDescent="0.2">
      <c r="A33" s="175">
        <v>19</v>
      </c>
      <c r="B33" s="201" t="s">
        <v>60</v>
      </c>
      <c r="C33" s="204" t="s">
        <v>614</v>
      </c>
      <c r="D33" s="203" t="s">
        <v>64</v>
      </c>
      <c r="E33" s="200">
        <v>4</v>
      </c>
      <c r="F33" s="120"/>
      <c r="G33" s="121"/>
      <c r="H33" s="122">
        <f t="shared" ref="H33:H42" si="7">ROUND(F33*G33,2)</f>
        <v>0</v>
      </c>
      <c r="I33" s="121"/>
      <c r="J33" s="121"/>
      <c r="K33" s="179">
        <f t="shared" ref="K33:K42" si="8">ROUND(H33+J33+I33,2)</f>
        <v>0</v>
      </c>
      <c r="L33" s="184">
        <f t="shared" ref="L33:L42" si="9">ROUND(E33*F33,2)</f>
        <v>0</v>
      </c>
      <c r="M33" s="121">
        <f t="shared" ref="M33:M42" si="10">ROUND(E33*H33,2)</f>
        <v>0</v>
      </c>
      <c r="N33" s="121">
        <f t="shared" ref="N33:N42" si="11">ROUND(E33*I33,2)</f>
        <v>0</v>
      </c>
      <c r="O33" s="121">
        <f t="shared" ref="O33:O42" si="12">ROUND(E33*J33,2)</f>
        <v>0</v>
      </c>
      <c r="P33" s="123">
        <f t="shared" ref="P33:P42" si="13">ROUND(O33+N33+M33,2)</f>
        <v>0</v>
      </c>
    </row>
    <row r="34" spans="1:16" ht="13.2" x14ac:dyDescent="0.2">
      <c r="A34" s="175">
        <v>20</v>
      </c>
      <c r="B34" s="201" t="s">
        <v>60</v>
      </c>
      <c r="C34" s="204" t="s">
        <v>615</v>
      </c>
      <c r="D34" s="203" t="s">
        <v>64</v>
      </c>
      <c r="E34" s="200">
        <v>4</v>
      </c>
      <c r="F34" s="120"/>
      <c r="G34" s="121"/>
      <c r="H34" s="122">
        <f t="shared" si="7"/>
        <v>0</v>
      </c>
      <c r="I34" s="121"/>
      <c r="J34" s="121"/>
      <c r="K34" s="179">
        <f t="shared" si="8"/>
        <v>0</v>
      </c>
      <c r="L34" s="184">
        <f t="shared" si="9"/>
        <v>0</v>
      </c>
      <c r="M34" s="121">
        <f t="shared" si="10"/>
        <v>0</v>
      </c>
      <c r="N34" s="121">
        <f t="shared" si="11"/>
        <v>0</v>
      </c>
      <c r="O34" s="121">
        <f t="shared" si="12"/>
        <v>0</v>
      </c>
      <c r="P34" s="123">
        <f t="shared" si="13"/>
        <v>0</v>
      </c>
    </row>
    <row r="35" spans="1:16" ht="13.2" x14ac:dyDescent="0.2">
      <c r="A35" s="175">
        <v>21</v>
      </c>
      <c r="B35" s="201" t="s">
        <v>60</v>
      </c>
      <c r="C35" s="204" t="s">
        <v>616</v>
      </c>
      <c r="D35" s="203" t="s">
        <v>64</v>
      </c>
      <c r="E35" s="200">
        <v>8</v>
      </c>
      <c r="F35" s="120"/>
      <c r="G35" s="121"/>
      <c r="H35" s="122">
        <f t="shared" si="7"/>
        <v>0</v>
      </c>
      <c r="I35" s="121"/>
      <c r="J35" s="121"/>
      <c r="K35" s="179">
        <f t="shared" si="8"/>
        <v>0</v>
      </c>
      <c r="L35" s="184">
        <f t="shared" si="9"/>
        <v>0</v>
      </c>
      <c r="M35" s="121">
        <f t="shared" si="10"/>
        <v>0</v>
      </c>
      <c r="N35" s="121">
        <f t="shared" si="11"/>
        <v>0</v>
      </c>
      <c r="O35" s="121">
        <f t="shared" si="12"/>
        <v>0</v>
      </c>
      <c r="P35" s="123">
        <f t="shared" si="13"/>
        <v>0</v>
      </c>
    </row>
    <row r="36" spans="1:16" ht="13.2" x14ac:dyDescent="0.2">
      <c r="A36" s="175">
        <v>22</v>
      </c>
      <c r="B36" s="201" t="s">
        <v>60</v>
      </c>
      <c r="C36" s="204" t="s">
        <v>617</v>
      </c>
      <c r="D36" s="203" t="s">
        <v>64</v>
      </c>
      <c r="E36" s="200">
        <v>12</v>
      </c>
      <c r="F36" s="120"/>
      <c r="G36" s="121"/>
      <c r="H36" s="122">
        <f t="shared" si="7"/>
        <v>0</v>
      </c>
      <c r="I36" s="121"/>
      <c r="J36" s="121"/>
      <c r="K36" s="179">
        <f t="shared" si="8"/>
        <v>0</v>
      </c>
      <c r="L36" s="184">
        <f t="shared" si="9"/>
        <v>0</v>
      </c>
      <c r="M36" s="121">
        <f t="shared" si="10"/>
        <v>0</v>
      </c>
      <c r="N36" s="121">
        <f t="shared" si="11"/>
        <v>0</v>
      </c>
      <c r="O36" s="121">
        <f t="shared" si="12"/>
        <v>0</v>
      </c>
      <c r="P36" s="123">
        <f t="shared" si="13"/>
        <v>0</v>
      </c>
    </row>
    <row r="37" spans="1:16" ht="13.2" x14ac:dyDescent="0.2">
      <c r="A37" s="175">
        <v>23</v>
      </c>
      <c r="B37" s="201" t="s">
        <v>60</v>
      </c>
      <c r="C37" s="204" t="s">
        <v>618</v>
      </c>
      <c r="D37" s="203" t="s">
        <v>64</v>
      </c>
      <c r="E37" s="200">
        <v>2</v>
      </c>
      <c r="F37" s="120"/>
      <c r="G37" s="121"/>
      <c r="H37" s="122">
        <f t="shared" si="7"/>
        <v>0</v>
      </c>
      <c r="I37" s="121"/>
      <c r="J37" s="121"/>
      <c r="K37" s="179">
        <f t="shared" si="8"/>
        <v>0</v>
      </c>
      <c r="L37" s="184">
        <f t="shared" si="9"/>
        <v>0</v>
      </c>
      <c r="M37" s="121">
        <f t="shared" si="10"/>
        <v>0</v>
      </c>
      <c r="N37" s="121">
        <f t="shared" si="11"/>
        <v>0</v>
      </c>
      <c r="O37" s="121">
        <f t="shared" si="12"/>
        <v>0</v>
      </c>
      <c r="P37" s="123">
        <f t="shared" si="13"/>
        <v>0</v>
      </c>
    </row>
    <row r="38" spans="1:16" ht="13.2" x14ac:dyDescent="0.2">
      <c r="A38" s="175">
        <v>24</v>
      </c>
      <c r="B38" s="201" t="s">
        <v>60</v>
      </c>
      <c r="C38" s="204" t="s">
        <v>619</v>
      </c>
      <c r="D38" s="203" t="s">
        <v>64</v>
      </c>
      <c r="E38" s="200">
        <v>2</v>
      </c>
      <c r="F38" s="120"/>
      <c r="G38" s="121"/>
      <c r="H38" s="122">
        <f t="shared" si="7"/>
        <v>0</v>
      </c>
      <c r="I38" s="121"/>
      <c r="J38" s="121"/>
      <c r="K38" s="179">
        <f t="shared" si="8"/>
        <v>0</v>
      </c>
      <c r="L38" s="184">
        <f t="shared" si="9"/>
        <v>0</v>
      </c>
      <c r="M38" s="121">
        <f t="shared" si="10"/>
        <v>0</v>
      </c>
      <c r="N38" s="121">
        <f t="shared" si="11"/>
        <v>0</v>
      </c>
      <c r="O38" s="121">
        <f t="shared" si="12"/>
        <v>0</v>
      </c>
      <c r="P38" s="123">
        <f t="shared" si="13"/>
        <v>0</v>
      </c>
    </row>
    <row r="39" spans="1:16" ht="13.2" x14ac:dyDescent="0.2">
      <c r="A39" s="175">
        <v>25</v>
      </c>
      <c r="B39" s="201" t="s">
        <v>60</v>
      </c>
      <c r="C39" s="204" t="s">
        <v>620</v>
      </c>
      <c r="D39" s="203" t="s">
        <v>64</v>
      </c>
      <c r="E39" s="200">
        <v>4</v>
      </c>
      <c r="F39" s="120"/>
      <c r="G39" s="121"/>
      <c r="H39" s="122">
        <f t="shared" si="7"/>
        <v>0</v>
      </c>
      <c r="I39" s="121"/>
      <c r="J39" s="121"/>
      <c r="K39" s="179">
        <f t="shared" si="8"/>
        <v>0</v>
      </c>
      <c r="L39" s="184">
        <f t="shared" si="9"/>
        <v>0</v>
      </c>
      <c r="M39" s="121">
        <f t="shared" si="10"/>
        <v>0</v>
      </c>
      <c r="N39" s="121">
        <f t="shared" si="11"/>
        <v>0</v>
      </c>
      <c r="O39" s="121">
        <f t="shared" si="12"/>
        <v>0</v>
      </c>
      <c r="P39" s="123">
        <f t="shared" si="13"/>
        <v>0</v>
      </c>
    </row>
    <row r="40" spans="1:16" ht="13.2" x14ac:dyDescent="0.2">
      <c r="A40" s="175">
        <v>26</v>
      </c>
      <c r="B40" s="201" t="s">
        <v>60</v>
      </c>
      <c r="C40" s="204" t="s">
        <v>621</v>
      </c>
      <c r="D40" s="203" t="s">
        <v>64</v>
      </c>
      <c r="E40" s="200">
        <v>2</v>
      </c>
      <c r="F40" s="120"/>
      <c r="G40" s="121"/>
      <c r="H40" s="122">
        <f t="shared" si="7"/>
        <v>0</v>
      </c>
      <c r="I40" s="121"/>
      <c r="J40" s="121"/>
      <c r="K40" s="179">
        <f t="shared" si="8"/>
        <v>0</v>
      </c>
      <c r="L40" s="184">
        <f t="shared" si="9"/>
        <v>0</v>
      </c>
      <c r="M40" s="121">
        <f t="shared" si="10"/>
        <v>0</v>
      </c>
      <c r="N40" s="121">
        <f t="shared" si="11"/>
        <v>0</v>
      </c>
      <c r="O40" s="121">
        <f t="shared" si="12"/>
        <v>0</v>
      </c>
      <c r="P40" s="123">
        <f t="shared" si="13"/>
        <v>0</v>
      </c>
    </row>
    <row r="41" spans="1:16" ht="13.2" x14ac:dyDescent="0.2">
      <c r="A41" s="175">
        <v>27</v>
      </c>
      <c r="B41" s="201" t="s">
        <v>60</v>
      </c>
      <c r="C41" s="204" t="s">
        <v>622</v>
      </c>
      <c r="D41" s="203" t="s">
        <v>64</v>
      </c>
      <c r="E41" s="200">
        <v>2</v>
      </c>
      <c r="F41" s="120"/>
      <c r="G41" s="121"/>
      <c r="H41" s="122">
        <f t="shared" si="7"/>
        <v>0</v>
      </c>
      <c r="I41" s="121"/>
      <c r="J41" s="121"/>
      <c r="K41" s="179">
        <f t="shared" si="8"/>
        <v>0</v>
      </c>
      <c r="L41" s="184">
        <f t="shared" si="9"/>
        <v>0</v>
      </c>
      <c r="M41" s="121">
        <f t="shared" si="10"/>
        <v>0</v>
      </c>
      <c r="N41" s="121">
        <f t="shared" si="11"/>
        <v>0</v>
      </c>
      <c r="O41" s="121">
        <f t="shared" si="12"/>
        <v>0</v>
      </c>
      <c r="P41" s="123">
        <f t="shared" si="13"/>
        <v>0</v>
      </c>
    </row>
    <row r="42" spans="1:16" ht="26.4" x14ac:dyDescent="0.2">
      <c r="A42" s="175">
        <v>28</v>
      </c>
      <c r="B42" s="205" t="s">
        <v>60</v>
      </c>
      <c r="C42" s="206" t="s">
        <v>623</v>
      </c>
      <c r="D42" s="207" t="s">
        <v>64</v>
      </c>
      <c r="E42" s="119">
        <v>2</v>
      </c>
      <c r="F42" s="120"/>
      <c r="G42" s="121"/>
      <c r="H42" s="122">
        <f t="shared" si="7"/>
        <v>0</v>
      </c>
      <c r="I42" s="121"/>
      <c r="J42" s="121"/>
      <c r="K42" s="179">
        <f t="shared" si="8"/>
        <v>0</v>
      </c>
      <c r="L42" s="184">
        <f t="shared" si="9"/>
        <v>0</v>
      </c>
      <c r="M42" s="121">
        <f t="shared" si="10"/>
        <v>0</v>
      </c>
      <c r="N42" s="121">
        <f t="shared" si="11"/>
        <v>0</v>
      </c>
      <c r="O42" s="121">
        <f t="shared" si="12"/>
        <v>0</v>
      </c>
      <c r="P42" s="123">
        <f t="shared" si="13"/>
        <v>0</v>
      </c>
    </row>
    <row r="43" spans="1:16" ht="13.2" x14ac:dyDescent="0.2">
      <c r="A43" s="175">
        <v>29</v>
      </c>
      <c r="B43" s="176" t="s">
        <v>60</v>
      </c>
      <c r="C43" s="199" t="s">
        <v>624</v>
      </c>
      <c r="D43" s="176" t="s">
        <v>64</v>
      </c>
      <c r="E43" s="200">
        <v>58</v>
      </c>
      <c r="F43" s="120"/>
      <c r="G43" s="121"/>
      <c r="H43" s="122">
        <f t="shared" si="0"/>
        <v>0</v>
      </c>
      <c r="I43" s="121"/>
      <c r="J43" s="121"/>
      <c r="K43" s="179">
        <f t="shared" si="1"/>
        <v>0</v>
      </c>
      <c r="L43" s="184">
        <f t="shared" si="2"/>
        <v>0</v>
      </c>
      <c r="M43" s="121">
        <f t="shared" si="3"/>
        <v>0</v>
      </c>
      <c r="N43" s="121">
        <f t="shared" si="4"/>
        <v>0</v>
      </c>
      <c r="O43" s="121">
        <f t="shared" si="5"/>
        <v>0</v>
      </c>
      <c r="P43" s="123">
        <f t="shared" si="6"/>
        <v>0</v>
      </c>
    </row>
    <row r="44" spans="1:16" ht="13.2" x14ac:dyDescent="0.2">
      <c r="A44" s="175">
        <v>30</v>
      </c>
      <c r="B44" s="201" t="s">
        <v>60</v>
      </c>
      <c r="C44" s="204" t="s">
        <v>625</v>
      </c>
      <c r="D44" s="203" t="s">
        <v>64</v>
      </c>
      <c r="E44" s="200">
        <v>10</v>
      </c>
      <c r="F44" s="120"/>
      <c r="G44" s="121"/>
      <c r="H44" s="122">
        <f t="shared" si="0"/>
        <v>0</v>
      </c>
      <c r="I44" s="121"/>
      <c r="J44" s="121"/>
      <c r="K44" s="179">
        <f t="shared" si="1"/>
        <v>0</v>
      </c>
      <c r="L44" s="184">
        <f t="shared" si="2"/>
        <v>0</v>
      </c>
      <c r="M44" s="121">
        <f t="shared" si="3"/>
        <v>0</v>
      </c>
      <c r="N44" s="121">
        <f t="shared" si="4"/>
        <v>0</v>
      </c>
      <c r="O44" s="121">
        <f t="shared" si="5"/>
        <v>0</v>
      </c>
      <c r="P44" s="123">
        <f t="shared" si="6"/>
        <v>0</v>
      </c>
    </row>
    <row r="45" spans="1:16" ht="13.2" x14ac:dyDescent="0.2">
      <c r="A45" s="175">
        <v>31</v>
      </c>
      <c r="B45" s="176" t="s">
        <v>60</v>
      </c>
      <c r="C45" s="199" t="s">
        <v>626</v>
      </c>
      <c r="D45" s="176" t="s">
        <v>64</v>
      </c>
      <c r="E45" s="200">
        <v>14</v>
      </c>
      <c r="F45" s="120"/>
      <c r="G45" s="121"/>
      <c r="H45" s="122">
        <f t="shared" si="0"/>
        <v>0</v>
      </c>
      <c r="I45" s="121"/>
      <c r="J45" s="121"/>
      <c r="K45" s="179">
        <f t="shared" si="1"/>
        <v>0</v>
      </c>
      <c r="L45" s="184">
        <f t="shared" si="2"/>
        <v>0</v>
      </c>
      <c r="M45" s="121">
        <f t="shared" si="3"/>
        <v>0</v>
      </c>
      <c r="N45" s="121">
        <f t="shared" si="4"/>
        <v>0</v>
      </c>
      <c r="O45" s="121">
        <f t="shared" si="5"/>
        <v>0</v>
      </c>
      <c r="P45" s="123">
        <f t="shared" si="6"/>
        <v>0</v>
      </c>
    </row>
    <row r="46" spans="1:16" ht="13.2" x14ac:dyDescent="0.2">
      <c r="A46" s="175">
        <v>32</v>
      </c>
      <c r="B46" s="201" t="s">
        <v>60</v>
      </c>
      <c r="C46" s="204" t="s">
        <v>627</v>
      </c>
      <c r="D46" s="203" t="s">
        <v>64</v>
      </c>
      <c r="E46" s="200">
        <v>4</v>
      </c>
      <c r="F46" s="120"/>
      <c r="G46" s="121"/>
      <c r="H46" s="122">
        <f t="shared" si="0"/>
        <v>0</v>
      </c>
      <c r="I46" s="121"/>
      <c r="J46" s="121"/>
      <c r="K46" s="179">
        <f t="shared" si="1"/>
        <v>0</v>
      </c>
      <c r="L46" s="184">
        <f t="shared" si="2"/>
        <v>0</v>
      </c>
      <c r="M46" s="121">
        <f t="shared" si="3"/>
        <v>0</v>
      </c>
      <c r="N46" s="121">
        <f t="shared" si="4"/>
        <v>0</v>
      </c>
      <c r="O46" s="121">
        <f t="shared" si="5"/>
        <v>0</v>
      </c>
      <c r="P46" s="123">
        <f t="shared" si="6"/>
        <v>0</v>
      </c>
    </row>
    <row r="47" spans="1:16" ht="13.2" x14ac:dyDescent="0.2">
      <c r="A47" s="175">
        <v>33</v>
      </c>
      <c r="B47" s="201" t="s">
        <v>60</v>
      </c>
      <c r="C47" s="204" t="s">
        <v>628</v>
      </c>
      <c r="D47" s="203" t="s">
        <v>64</v>
      </c>
      <c r="E47" s="200">
        <v>8</v>
      </c>
      <c r="F47" s="120"/>
      <c r="G47" s="121"/>
      <c r="H47" s="122">
        <f t="shared" si="0"/>
        <v>0</v>
      </c>
      <c r="I47" s="121"/>
      <c r="J47" s="121"/>
      <c r="K47" s="179">
        <f t="shared" si="1"/>
        <v>0</v>
      </c>
      <c r="L47" s="184">
        <f t="shared" si="2"/>
        <v>0</v>
      </c>
      <c r="M47" s="121">
        <f t="shared" si="3"/>
        <v>0</v>
      </c>
      <c r="N47" s="121">
        <f t="shared" si="4"/>
        <v>0</v>
      </c>
      <c r="O47" s="121">
        <f t="shared" si="5"/>
        <v>0</v>
      </c>
      <c r="P47" s="123">
        <f t="shared" si="6"/>
        <v>0</v>
      </c>
    </row>
    <row r="48" spans="1:16" ht="13.2" x14ac:dyDescent="0.2">
      <c r="A48" s="175">
        <v>34</v>
      </c>
      <c r="B48" s="176" t="s">
        <v>60</v>
      </c>
      <c r="C48" s="199" t="s">
        <v>629</v>
      </c>
      <c r="D48" s="176" t="s">
        <v>64</v>
      </c>
      <c r="E48" s="200">
        <v>4</v>
      </c>
      <c r="F48" s="120"/>
      <c r="G48" s="121"/>
      <c r="H48" s="122">
        <f t="shared" si="0"/>
        <v>0</v>
      </c>
      <c r="I48" s="121"/>
      <c r="J48" s="121"/>
      <c r="K48" s="179">
        <f t="shared" si="1"/>
        <v>0</v>
      </c>
      <c r="L48" s="184">
        <f t="shared" si="2"/>
        <v>0</v>
      </c>
      <c r="M48" s="121">
        <f t="shared" si="3"/>
        <v>0</v>
      </c>
      <c r="N48" s="121">
        <f t="shared" si="4"/>
        <v>0</v>
      </c>
      <c r="O48" s="121">
        <f t="shared" si="5"/>
        <v>0</v>
      </c>
      <c r="P48" s="123">
        <f t="shared" si="6"/>
        <v>0</v>
      </c>
    </row>
    <row r="49" spans="1:16" ht="13.2" x14ac:dyDescent="0.2">
      <c r="A49" s="175">
        <v>35</v>
      </c>
      <c r="B49" s="201" t="s">
        <v>60</v>
      </c>
      <c r="C49" s="204" t="s">
        <v>630</v>
      </c>
      <c r="D49" s="203" t="s">
        <v>64</v>
      </c>
      <c r="E49" s="200">
        <v>8</v>
      </c>
      <c r="F49" s="120"/>
      <c r="G49" s="121"/>
      <c r="H49" s="122">
        <f t="shared" si="0"/>
        <v>0</v>
      </c>
      <c r="I49" s="121"/>
      <c r="J49" s="121"/>
      <c r="K49" s="179">
        <f t="shared" si="1"/>
        <v>0</v>
      </c>
      <c r="L49" s="184">
        <f t="shared" si="2"/>
        <v>0</v>
      </c>
      <c r="M49" s="121">
        <f t="shared" si="3"/>
        <v>0</v>
      </c>
      <c r="N49" s="121">
        <f t="shared" si="4"/>
        <v>0</v>
      </c>
      <c r="O49" s="121">
        <f t="shared" si="5"/>
        <v>0</v>
      </c>
      <c r="P49" s="123">
        <f t="shared" si="6"/>
        <v>0</v>
      </c>
    </row>
    <row r="50" spans="1:16" ht="13.2" x14ac:dyDescent="0.2">
      <c r="A50" s="175">
        <v>36</v>
      </c>
      <c r="B50" s="201" t="s">
        <v>60</v>
      </c>
      <c r="C50" s="204" t="s">
        <v>631</v>
      </c>
      <c r="D50" s="203" t="s">
        <v>64</v>
      </c>
      <c r="E50" s="200">
        <v>4</v>
      </c>
      <c r="F50" s="120"/>
      <c r="G50" s="121"/>
      <c r="H50" s="122">
        <f t="shared" si="0"/>
        <v>0</v>
      </c>
      <c r="I50" s="121"/>
      <c r="J50" s="121"/>
      <c r="K50" s="179">
        <f t="shared" si="1"/>
        <v>0</v>
      </c>
      <c r="L50" s="184">
        <f t="shared" si="2"/>
        <v>0</v>
      </c>
      <c r="M50" s="121">
        <f t="shared" si="3"/>
        <v>0</v>
      </c>
      <c r="N50" s="121">
        <f t="shared" si="4"/>
        <v>0</v>
      </c>
      <c r="O50" s="121">
        <f t="shared" si="5"/>
        <v>0</v>
      </c>
      <c r="P50" s="123">
        <f t="shared" si="6"/>
        <v>0</v>
      </c>
    </row>
    <row r="51" spans="1:16" ht="13.2" x14ac:dyDescent="0.2">
      <c r="A51" s="175">
        <v>37</v>
      </c>
      <c r="B51" s="201" t="s">
        <v>60</v>
      </c>
      <c r="C51" s="204" t="s">
        <v>632</v>
      </c>
      <c r="D51" s="203" t="s">
        <v>64</v>
      </c>
      <c r="E51" s="200">
        <v>2</v>
      </c>
      <c r="F51" s="120"/>
      <c r="G51" s="121"/>
      <c r="H51" s="122">
        <f t="shared" si="0"/>
        <v>0</v>
      </c>
      <c r="I51" s="121"/>
      <c r="J51" s="121"/>
      <c r="K51" s="179">
        <f t="shared" si="1"/>
        <v>0</v>
      </c>
      <c r="L51" s="184">
        <f t="shared" si="2"/>
        <v>0</v>
      </c>
      <c r="M51" s="121">
        <f t="shared" si="3"/>
        <v>0</v>
      </c>
      <c r="N51" s="121">
        <f t="shared" si="4"/>
        <v>0</v>
      </c>
      <c r="O51" s="121">
        <f t="shared" si="5"/>
        <v>0</v>
      </c>
      <c r="P51" s="123">
        <f t="shared" si="6"/>
        <v>0</v>
      </c>
    </row>
    <row r="52" spans="1:16" ht="26.4" x14ac:dyDescent="0.2">
      <c r="A52" s="175">
        <v>38</v>
      </c>
      <c r="B52" s="201" t="s">
        <v>60</v>
      </c>
      <c r="C52" s="206" t="s">
        <v>633</v>
      </c>
      <c r="D52" s="203" t="s">
        <v>64</v>
      </c>
      <c r="E52" s="200">
        <v>1</v>
      </c>
      <c r="F52" s="120"/>
      <c r="G52" s="121"/>
      <c r="H52" s="122">
        <f t="shared" si="0"/>
        <v>0</v>
      </c>
      <c r="I52" s="121"/>
      <c r="J52" s="121"/>
      <c r="K52" s="179">
        <f t="shared" si="1"/>
        <v>0</v>
      </c>
      <c r="L52" s="184">
        <f t="shared" si="2"/>
        <v>0</v>
      </c>
      <c r="M52" s="121">
        <f t="shared" si="3"/>
        <v>0</v>
      </c>
      <c r="N52" s="121">
        <f t="shared" si="4"/>
        <v>0</v>
      </c>
      <c r="O52" s="121">
        <f t="shared" si="5"/>
        <v>0</v>
      </c>
      <c r="P52" s="123">
        <f t="shared" si="6"/>
        <v>0</v>
      </c>
    </row>
    <row r="53" spans="1:16" ht="26.4" x14ac:dyDescent="0.2">
      <c r="A53" s="175">
        <v>39</v>
      </c>
      <c r="B53" s="201" t="s">
        <v>60</v>
      </c>
      <c r="C53" s="206" t="s">
        <v>634</v>
      </c>
      <c r="D53" s="203" t="s">
        <v>64</v>
      </c>
      <c r="E53" s="200">
        <v>30</v>
      </c>
      <c r="F53" s="120"/>
      <c r="G53" s="121"/>
      <c r="H53" s="122">
        <f t="shared" si="0"/>
        <v>0</v>
      </c>
      <c r="I53" s="121"/>
      <c r="J53" s="121"/>
      <c r="K53" s="179">
        <f t="shared" si="1"/>
        <v>0</v>
      </c>
      <c r="L53" s="184">
        <f t="shared" si="2"/>
        <v>0</v>
      </c>
      <c r="M53" s="121">
        <f t="shared" si="3"/>
        <v>0</v>
      </c>
      <c r="N53" s="121">
        <f t="shared" si="4"/>
        <v>0</v>
      </c>
      <c r="O53" s="121">
        <f t="shared" si="5"/>
        <v>0</v>
      </c>
      <c r="P53" s="123">
        <f t="shared" si="6"/>
        <v>0</v>
      </c>
    </row>
    <row r="54" spans="1:16" ht="26.4" x14ac:dyDescent="0.2">
      <c r="A54" s="175">
        <v>40</v>
      </c>
      <c r="B54" s="201" t="s">
        <v>60</v>
      </c>
      <c r="C54" s="206" t="s">
        <v>635</v>
      </c>
      <c r="D54" s="203" t="s">
        <v>64</v>
      </c>
      <c r="E54" s="200">
        <v>60</v>
      </c>
      <c r="F54" s="120"/>
      <c r="G54" s="121"/>
      <c r="H54" s="122">
        <f t="shared" si="0"/>
        <v>0</v>
      </c>
      <c r="I54" s="121"/>
      <c r="J54" s="121"/>
      <c r="K54" s="179">
        <f t="shared" si="1"/>
        <v>0</v>
      </c>
      <c r="L54" s="184">
        <f t="shared" si="2"/>
        <v>0</v>
      </c>
      <c r="M54" s="121">
        <f t="shared" si="3"/>
        <v>0</v>
      </c>
      <c r="N54" s="121">
        <f t="shared" si="4"/>
        <v>0</v>
      </c>
      <c r="O54" s="121">
        <f t="shared" si="5"/>
        <v>0</v>
      </c>
      <c r="P54" s="123">
        <f t="shared" si="6"/>
        <v>0</v>
      </c>
    </row>
    <row r="55" spans="1:16" ht="26.4" x14ac:dyDescent="0.2">
      <c r="A55" s="175">
        <v>41</v>
      </c>
      <c r="B55" s="201" t="s">
        <v>60</v>
      </c>
      <c r="C55" s="206" t="s">
        <v>636</v>
      </c>
      <c r="D55" s="203" t="s">
        <v>64</v>
      </c>
      <c r="E55" s="200">
        <v>22</v>
      </c>
      <c r="F55" s="120"/>
      <c r="G55" s="121"/>
      <c r="H55" s="122">
        <f t="shared" si="0"/>
        <v>0</v>
      </c>
      <c r="I55" s="121"/>
      <c r="J55" s="121"/>
      <c r="K55" s="179">
        <f t="shared" si="1"/>
        <v>0</v>
      </c>
      <c r="L55" s="184">
        <f t="shared" si="2"/>
        <v>0</v>
      </c>
      <c r="M55" s="121">
        <f t="shared" si="3"/>
        <v>0</v>
      </c>
      <c r="N55" s="121">
        <f t="shared" si="4"/>
        <v>0</v>
      </c>
      <c r="O55" s="121">
        <f t="shared" si="5"/>
        <v>0</v>
      </c>
      <c r="P55" s="123">
        <f t="shared" si="6"/>
        <v>0</v>
      </c>
    </row>
    <row r="56" spans="1:16" ht="26.4" x14ac:dyDescent="0.2">
      <c r="A56" s="175">
        <v>42</v>
      </c>
      <c r="B56" s="201" t="s">
        <v>60</v>
      </c>
      <c r="C56" s="206" t="s">
        <v>637</v>
      </c>
      <c r="D56" s="203" t="s">
        <v>64</v>
      </c>
      <c r="E56" s="200">
        <v>9</v>
      </c>
      <c r="F56" s="120"/>
      <c r="G56" s="121"/>
      <c r="H56" s="122">
        <f t="shared" si="0"/>
        <v>0</v>
      </c>
      <c r="I56" s="121"/>
      <c r="J56" s="121"/>
      <c r="K56" s="179">
        <f t="shared" si="1"/>
        <v>0</v>
      </c>
      <c r="L56" s="184">
        <f t="shared" si="2"/>
        <v>0</v>
      </c>
      <c r="M56" s="121">
        <f t="shared" si="3"/>
        <v>0</v>
      </c>
      <c r="N56" s="121">
        <f t="shared" si="4"/>
        <v>0</v>
      </c>
      <c r="O56" s="121">
        <f t="shared" si="5"/>
        <v>0</v>
      </c>
      <c r="P56" s="123">
        <f t="shared" si="6"/>
        <v>0</v>
      </c>
    </row>
    <row r="57" spans="1:16" ht="26.4" x14ac:dyDescent="0.2">
      <c r="A57" s="175">
        <v>43</v>
      </c>
      <c r="B57" s="201" t="s">
        <v>60</v>
      </c>
      <c r="C57" s="206" t="s">
        <v>638</v>
      </c>
      <c r="D57" s="203" t="s">
        <v>64</v>
      </c>
      <c r="E57" s="200">
        <v>11</v>
      </c>
      <c r="F57" s="120"/>
      <c r="G57" s="121"/>
      <c r="H57" s="122">
        <f t="shared" si="0"/>
        <v>0</v>
      </c>
      <c r="I57" s="121"/>
      <c r="J57" s="121"/>
      <c r="K57" s="179">
        <f t="shared" si="1"/>
        <v>0</v>
      </c>
      <c r="L57" s="184">
        <f t="shared" si="2"/>
        <v>0</v>
      </c>
      <c r="M57" s="121">
        <f t="shared" si="3"/>
        <v>0</v>
      </c>
      <c r="N57" s="121">
        <f t="shared" si="4"/>
        <v>0</v>
      </c>
      <c r="O57" s="121">
        <f t="shared" si="5"/>
        <v>0</v>
      </c>
      <c r="P57" s="123">
        <f t="shared" si="6"/>
        <v>0</v>
      </c>
    </row>
    <row r="58" spans="1:16" ht="26.4" x14ac:dyDescent="0.2">
      <c r="A58" s="175">
        <v>44</v>
      </c>
      <c r="B58" s="201" t="s">
        <v>60</v>
      </c>
      <c r="C58" s="206" t="s">
        <v>639</v>
      </c>
      <c r="D58" s="203" t="s">
        <v>64</v>
      </c>
      <c r="E58" s="200">
        <v>20</v>
      </c>
      <c r="F58" s="120"/>
      <c r="G58" s="121"/>
      <c r="H58" s="122">
        <f t="shared" si="0"/>
        <v>0</v>
      </c>
      <c r="I58" s="121"/>
      <c r="J58" s="121"/>
      <c r="K58" s="179">
        <f t="shared" si="1"/>
        <v>0</v>
      </c>
      <c r="L58" s="184">
        <f t="shared" si="2"/>
        <v>0</v>
      </c>
      <c r="M58" s="121">
        <f t="shared" si="3"/>
        <v>0</v>
      </c>
      <c r="N58" s="121">
        <f t="shared" si="4"/>
        <v>0</v>
      </c>
      <c r="O58" s="121">
        <f t="shared" si="5"/>
        <v>0</v>
      </c>
      <c r="P58" s="123">
        <f t="shared" si="6"/>
        <v>0</v>
      </c>
    </row>
    <row r="59" spans="1:16" ht="26.4" x14ac:dyDescent="0.2">
      <c r="A59" s="175">
        <v>45</v>
      </c>
      <c r="B59" s="201" t="s">
        <v>60</v>
      </c>
      <c r="C59" s="206" t="s">
        <v>640</v>
      </c>
      <c r="D59" s="203" t="s">
        <v>64</v>
      </c>
      <c r="E59" s="200">
        <v>2</v>
      </c>
      <c r="F59" s="120"/>
      <c r="G59" s="121"/>
      <c r="H59" s="122">
        <f>ROUND(F59*G59,2)</f>
        <v>0</v>
      </c>
      <c r="I59" s="121"/>
      <c r="J59" s="121"/>
      <c r="K59" s="179">
        <f>ROUND(H59+J59+I59,2)</f>
        <v>0</v>
      </c>
      <c r="L59" s="184">
        <f>ROUND(E59*F59,2)</f>
        <v>0</v>
      </c>
      <c r="M59" s="121">
        <f>ROUND(E59*H59,2)</f>
        <v>0</v>
      </c>
      <c r="N59" s="121">
        <f>ROUND(E59*I59,2)</f>
        <v>0</v>
      </c>
      <c r="O59" s="121">
        <f>ROUND(E59*J59,2)</f>
        <v>0</v>
      </c>
      <c r="P59" s="123">
        <f>ROUND(O59+N59+M59,2)</f>
        <v>0</v>
      </c>
    </row>
    <row r="60" spans="1:16" ht="26.4" x14ac:dyDescent="0.2">
      <c r="A60" s="175">
        <v>46</v>
      </c>
      <c r="B60" s="201" t="s">
        <v>60</v>
      </c>
      <c r="C60" s="206" t="s">
        <v>641</v>
      </c>
      <c r="D60" s="203" t="s">
        <v>64</v>
      </c>
      <c r="E60" s="200">
        <v>23</v>
      </c>
      <c r="F60" s="120"/>
      <c r="G60" s="121"/>
      <c r="H60" s="122">
        <f>ROUND(F60*G60,2)</f>
        <v>0</v>
      </c>
      <c r="I60" s="121"/>
      <c r="J60" s="121"/>
      <c r="K60" s="179">
        <f>ROUND(H60+J60+I60,2)</f>
        <v>0</v>
      </c>
      <c r="L60" s="184">
        <f>ROUND(E60*F60,2)</f>
        <v>0</v>
      </c>
      <c r="M60" s="121">
        <f>ROUND(E60*H60,2)</f>
        <v>0</v>
      </c>
      <c r="N60" s="121">
        <f>ROUND(E60*I60,2)</f>
        <v>0</v>
      </c>
      <c r="O60" s="121">
        <f>ROUND(E60*J60,2)</f>
        <v>0</v>
      </c>
      <c r="P60" s="123">
        <f>ROUND(O60+N60+M60,2)</f>
        <v>0</v>
      </c>
    </row>
    <row r="61" spans="1:16" ht="26.4" x14ac:dyDescent="0.2">
      <c r="A61" s="175">
        <v>47</v>
      </c>
      <c r="B61" s="201" t="s">
        <v>60</v>
      </c>
      <c r="C61" s="206" t="s">
        <v>642</v>
      </c>
      <c r="D61" s="203" t="s">
        <v>64</v>
      </c>
      <c r="E61" s="200">
        <v>20</v>
      </c>
      <c r="F61" s="120"/>
      <c r="G61" s="121"/>
      <c r="H61" s="122">
        <f>ROUND(F61*G61,2)</f>
        <v>0</v>
      </c>
      <c r="I61" s="121"/>
      <c r="J61" s="121"/>
      <c r="K61" s="179">
        <f>ROUND(H61+J61+I61,2)</f>
        <v>0</v>
      </c>
      <c r="L61" s="184">
        <f>ROUND(E61*F61,2)</f>
        <v>0</v>
      </c>
      <c r="M61" s="121">
        <f>ROUND(E61*H61,2)</f>
        <v>0</v>
      </c>
      <c r="N61" s="121">
        <f>ROUND(E61*I61,2)</f>
        <v>0</v>
      </c>
      <c r="O61" s="121">
        <f>ROUND(E61*J61,2)</f>
        <v>0</v>
      </c>
      <c r="P61" s="123">
        <f>ROUND(O61+N61+M61,2)</f>
        <v>0</v>
      </c>
    </row>
    <row r="62" spans="1:16" ht="26.4" x14ac:dyDescent="0.2">
      <c r="A62" s="175">
        <v>48</v>
      </c>
      <c r="B62" s="201" t="s">
        <v>60</v>
      </c>
      <c r="C62" s="206" t="s">
        <v>643</v>
      </c>
      <c r="D62" s="203" t="s">
        <v>64</v>
      </c>
      <c r="E62" s="200">
        <v>1</v>
      </c>
      <c r="F62" s="120"/>
      <c r="G62" s="121"/>
      <c r="H62" s="122">
        <f>ROUND(F62*G62,2)</f>
        <v>0</v>
      </c>
      <c r="I62" s="121"/>
      <c r="J62" s="121"/>
      <c r="K62" s="179">
        <f>ROUND(H62+J62+I62,2)</f>
        <v>0</v>
      </c>
      <c r="L62" s="184">
        <f>ROUND(E62*F62,2)</f>
        <v>0</v>
      </c>
      <c r="M62" s="121">
        <f>ROUND(E62*H62,2)</f>
        <v>0</v>
      </c>
      <c r="N62" s="121">
        <f>ROUND(E62*I62,2)</f>
        <v>0</v>
      </c>
      <c r="O62" s="121">
        <f>ROUND(E62*J62,2)</f>
        <v>0</v>
      </c>
      <c r="P62" s="123">
        <f>ROUND(O62+N62+M62,2)</f>
        <v>0</v>
      </c>
    </row>
    <row r="63" spans="1:16" ht="26.4" x14ac:dyDescent="0.2">
      <c r="A63" s="175">
        <v>49</v>
      </c>
      <c r="B63" s="201" t="s">
        <v>60</v>
      </c>
      <c r="C63" s="206" t="s">
        <v>644</v>
      </c>
      <c r="D63" s="203" t="s">
        <v>64</v>
      </c>
      <c r="E63" s="200">
        <v>1</v>
      </c>
      <c r="F63" s="120"/>
      <c r="G63" s="121"/>
      <c r="H63" s="122">
        <f>ROUND(F63*G63,2)</f>
        <v>0</v>
      </c>
      <c r="I63" s="121"/>
      <c r="J63" s="121"/>
      <c r="K63" s="179">
        <f>ROUND(H63+J63+I63,2)</f>
        <v>0</v>
      </c>
      <c r="L63" s="184">
        <f>ROUND(E63*F63,2)</f>
        <v>0</v>
      </c>
      <c r="M63" s="121">
        <f>ROUND(E63*H63,2)</f>
        <v>0</v>
      </c>
      <c r="N63" s="121">
        <f>ROUND(E63*I63,2)</f>
        <v>0</v>
      </c>
      <c r="O63" s="121">
        <f>ROUND(E63*J63,2)</f>
        <v>0</v>
      </c>
      <c r="P63" s="123">
        <f>ROUND(O63+N63+M63,2)</f>
        <v>0</v>
      </c>
    </row>
    <row r="64" spans="1:16" ht="26.4" x14ac:dyDescent="0.2">
      <c r="A64" s="175">
        <v>50</v>
      </c>
      <c r="B64" s="201" t="s">
        <v>60</v>
      </c>
      <c r="C64" s="206" t="s">
        <v>645</v>
      </c>
      <c r="D64" s="203" t="s">
        <v>64</v>
      </c>
      <c r="E64" s="200">
        <v>23</v>
      </c>
      <c r="F64" s="120"/>
      <c r="G64" s="121"/>
      <c r="H64" s="122">
        <f t="shared" si="0"/>
        <v>0</v>
      </c>
      <c r="I64" s="121"/>
      <c r="J64" s="121"/>
      <c r="K64" s="179">
        <f t="shared" si="1"/>
        <v>0</v>
      </c>
      <c r="L64" s="184">
        <f t="shared" si="2"/>
        <v>0</v>
      </c>
      <c r="M64" s="121">
        <f t="shared" si="3"/>
        <v>0</v>
      </c>
      <c r="N64" s="121">
        <f t="shared" si="4"/>
        <v>0</v>
      </c>
      <c r="O64" s="121">
        <f t="shared" si="5"/>
        <v>0</v>
      </c>
      <c r="P64" s="123">
        <f t="shared" si="6"/>
        <v>0</v>
      </c>
    </row>
    <row r="65" spans="1:16" ht="26.4" x14ac:dyDescent="0.2">
      <c r="A65" s="175">
        <v>51</v>
      </c>
      <c r="B65" s="201" t="s">
        <v>60</v>
      </c>
      <c r="C65" s="206" t="s">
        <v>646</v>
      </c>
      <c r="D65" s="203" t="s">
        <v>64</v>
      </c>
      <c r="E65" s="200">
        <v>2</v>
      </c>
      <c r="F65" s="120"/>
      <c r="G65" s="121"/>
      <c r="H65" s="122">
        <f t="shared" si="0"/>
        <v>0</v>
      </c>
      <c r="I65" s="121"/>
      <c r="J65" s="121"/>
      <c r="K65" s="179">
        <f t="shared" si="1"/>
        <v>0</v>
      </c>
      <c r="L65" s="184">
        <f t="shared" si="2"/>
        <v>0</v>
      </c>
      <c r="M65" s="121">
        <f t="shared" si="3"/>
        <v>0</v>
      </c>
      <c r="N65" s="121">
        <f t="shared" si="4"/>
        <v>0</v>
      </c>
      <c r="O65" s="121">
        <f t="shared" si="5"/>
        <v>0</v>
      </c>
      <c r="P65" s="123">
        <f t="shared" si="6"/>
        <v>0</v>
      </c>
    </row>
    <row r="66" spans="1:16" ht="26.4" x14ac:dyDescent="0.2">
      <c r="A66" s="175">
        <v>52</v>
      </c>
      <c r="B66" s="201" t="s">
        <v>60</v>
      </c>
      <c r="C66" s="206" t="s">
        <v>647</v>
      </c>
      <c r="D66" s="203" t="s">
        <v>64</v>
      </c>
      <c r="E66" s="200">
        <v>2</v>
      </c>
      <c r="F66" s="120"/>
      <c r="G66" s="121"/>
      <c r="H66" s="122">
        <f t="shared" si="0"/>
        <v>0</v>
      </c>
      <c r="I66" s="121"/>
      <c r="J66" s="121"/>
      <c r="K66" s="179">
        <f t="shared" si="1"/>
        <v>0</v>
      </c>
      <c r="L66" s="184">
        <f t="shared" si="2"/>
        <v>0</v>
      </c>
      <c r="M66" s="121">
        <f t="shared" si="3"/>
        <v>0</v>
      </c>
      <c r="N66" s="121">
        <f t="shared" si="4"/>
        <v>0</v>
      </c>
      <c r="O66" s="121">
        <f t="shared" si="5"/>
        <v>0</v>
      </c>
      <c r="P66" s="123">
        <f t="shared" si="6"/>
        <v>0</v>
      </c>
    </row>
    <row r="67" spans="1:16" ht="26.4" x14ac:dyDescent="0.2">
      <c r="A67" s="175">
        <v>53</v>
      </c>
      <c r="B67" s="201" t="s">
        <v>60</v>
      </c>
      <c r="C67" s="206" t="s">
        <v>648</v>
      </c>
      <c r="D67" s="203" t="s">
        <v>64</v>
      </c>
      <c r="E67" s="200">
        <v>3</v>
      </c>
      <c r="F67" s="120"/>
      <c r="G67" s="121"/>
      <c r="H67" s="122">
        <f t="shared" si="0"/>
        <v>0</v>
      </c>
      <c r="I67" s="121"/>
      <c r="J67" s="121"/>
      <c r="K67" s="179">
        <f t="shared" si="1"/>
        <v>0</v>
      </c>
      <c r="L67" s="184">
        <f t="shared" si="2"/>
        <v>0</v>
      </c>
      <c r="M67" s="121">
        <f t="shared" si="3"/>
        <v>0</v>
      </c>
      <c r="N67" s="121">
        <f t="shared" si="4"/>
        <v>0</v>
      </c>
      <c r="O67" s="121">
        <f t="shared" si="5"/>
        <v>0</v>
      </c>
      <c r="P67" s="123">
        <f t="shared" si="6"/>
        <v>0</v>
      </c>
    </row>
    <row r="68" spans="1:16" ht="39.6" x14ac:dyDescent="0.2">
      <c r="A68" s="175">
        <v>54</v>
      </c>
      <c r="B68" s="176" t="s">
        <v>60</v>
      </c>
      <c r="C68" s="199" t="s">
        <v>649</v>
      </c>
      <c r="D68" s="176" t="s">
        <v>64</v>
      </c>
      <c r="E68" s="200">
        <v>230</v>
      </c>
      <c r="F68" s="120"/>
      <c r="G68" s="121"/>
      <c r="H68" s="122">
        <f t="shared" si="0"/>
        <v>0</v>
      </c>
      <c r="I68" s="121"/>
      <c r="J68" s="121"/>
      <c r="K68" s="179">
        <f t="shared" si="1"/>
        <v>0</v>
      </c>
      <c r="L68" s="184">
        <f t="shared" si="2"/>
        <v>0</v>
      </c>
      <c r="M68" s="121">
        <f t="shared" si="3"/>
        <v>0</v>
      </c>
      <c r="N68" s="121">
        <f t="shared" si="4"/>
        <v>0</v>
      </c>
      <c r="O68" s="121">
        <f t="shared" si="5"/>
        <v>0</v>
      </c>
      <c r="P68" s="123">
        <f t="shared" si="6"/>
        <v>0</v>
      </c>
    </row>
    <row r="69" spans="1:16" ht="26.4" x14ac:dyDescent="0.2">
      <c r="A69" s="175">
        <v>55</v>
      </c>
      <c r="B69" s="176" t="s">
        <v>60</v>
      </c>
      <c r="C69" s="199" t="s">
        <v>650</v>
      </c>
      <c r="D69" s="176" t="s">
        <v>64</v>
      </c>
      <c r="E69" s="200">
        <v>230</v>
      </c>
      <c r="F69" s="120"/>
      <c r="G69" s="121"/>
      <c r="H69" s="122">
        <f t="shared" si="0"/>
        <v>0</v>
      </c>
      <c r="I69" s="121"/>
      <c r="J69" s="121"/>
      <c r="K69" s="179">
        <f t="shared" si="1"/>
        <v>0</v>
      </c>
      <c r="L69" s="184">
        <f t="shared" si="2"/>
        <v>0</v>
      </c>
      <c r="M69" s="121">
        <f t="shared" si="3"/>
        <v>0</v>
      </c>
      <c r="N69" s="121">
        <f t="shared" si="4"/>
        <v>0</v>
      </c>
      <c r="O69" s="121">
        <f t="shared" si="5"/>
        <v>0</v>
      </c>
      <c r="P69" s="123">
        <f t="shared" si="6"/>
        <v>0</v>
      </c>
    </row>
    <row r="70" spans="1:16" ht="13.2" x14ac:dyDescent="0.2">
      <c r="A70" s="175">
        <v>56</v>
      </c>
      <c r="B70" s="201" t="s">
        <v>60</v>
      </c>
      <c r="C70" s="206" t="s">
        <v>651</v>
      </c>
      <c r="D70" s="203" t="s">
        <v>64</v>
      </c>
      <c r="E70" s="200">
        <v>34</v>
      </c>
      <c r="F70" s="120"/>
      <c r="G70" s="121"/>
      <c r="H70" s="122">
        <f t="shared" si="0"/>
        <v>0</v>
      </c>
      <c r="I70" s="121"/>
      <c r="J70" s="121"/>
      <c r="K70" s="179">
        <f t="shared" si="1"/>
        <v>0</v>
      </c>
      <c r="L70" s="184">
        <f t="shared" si="2"/>
        <v>0</v>
      </c>
      <c r="M70" s="121">
        <f t="shared" si="3"/>
        <v>0</v>
      </c>
      <c r="N70" s="121">
        <f t="shared" si="4"/>
        <v>0</v>
      </c>
      <c r="O70" s="121">
        <f t="shared" si="5"/>
        <v>0</v>
      </c>
      <c r="P70" s="123">
        <f t="shared" si="6"/>
        <v>0</v>
      </c>
    </row>
    <row r="71" spans="1:16" ht="13.2" x14ac:dyDescent="0.2">
      <c r="A71" s="175">
        <v>57</v>
      </c>
      <c r="B71" s="201" t="s">
        <v>60</v>
      </c>
      <c r="C71" s="206" t="s">
        <v>652</v>
      </c>
      <c r="D71" s="203" t="s">
        <v>64</v>
      </c>
      <c r="E71" s="200">
        <v>4</v>
      </c>
      <c r="F71" s="120"/>
      <c r="G71" s="121"/>
      <c r="H71" s="122">
        <f t="shared" si="0"/>
        <v>0</v>
      </c>
      <c r="I71" s="121"/>
      <c r="J71" s="121"/>
      <c r="K71" s="179">
        <f t="shared" si="1"/>
        <v>0</v>
      </c>
      <c r="L71" s="184">
        <f t="shared" si="2"/>
        <v>0</v>
      </c>
      <c r="M71" s="121">
        <f t="shared" si="3"/>
        <v>0</v>
      </c>
      <c r="N71" s="121">
        <f t="shared" si="4"/>
        <v>0</v>
      </c>
      <c r="O71" s="121">
        <f t="shared" si="5"/>
        <v>0</v>
      </c>
      <c r="P71" s="123">
        <f t="shared" si="6"/>
        <v>0</v>
      </c>
    </row>
    <row r="72" spans="1:16" ht="13.2" x14ac:dyDescent="0.2">
      <c r="A72" s="175">
        <v>58</v>
      </c>
      <c r="B72" s="176" t="s">
        <v>60</v>
      </c>
      <c r="C72" s="199" t="s">
        <v>653</v>
      </c>
      <c r="D72" s="176" t="s">
        <v>64</v>
      </c>
      <c r="E72" s="200">
        <v>6</v>
      </c>
      <c r="F72" s="120"/>
      <c r="G72" s="121"/>
      <c r="H72" s="122">
        <f t="shared" si="0"/>
        <v>0</v>
      </c>
      <c r="I72" s="121"/>
      <c r="J72" s="121"/>
      <c r="K72" s="179">
        <f t="shared" si="1"/>
        <v>0</v>
      </c>
      <c r="L72" s="184">
        <f t="shared" si="2"/>
        <v>0</v>
      </c>
      <c r="M72" s="121">
        <f t="shared" si="3"/>
        <v>0</v>
      </c>
      <c r="N72" s="121">
        <f t="shared" si="4"/>
        <v>0</v>
      </c>
      <c r="O72" s="121">
        <f t="shared" si="5"/>
        <v>0</v>
      </c>
      <c r="P72" s="123">
        <f t="shared" si="6"/>
        <v>0</v>
      </c>
    </row>
    <row r="73" spans="1:16" ht="13.2" x14ac:dyDescent="0.2">
      <c r="A73" s="175">
        <v>59</v>
      </c>
      <c r="B73" s="201" t="s">
        <v>60</v>
      </c>
      <c r="C73" s="206" t="s">
        <v>654</v>
      </c>
      <c r="D73" s="203" t="s">
        <v>64</v>
      </c>
      <c r="E73" s="200">
        <v>2</v>
      </c>
      <c r="F73" s="120"/>
      <c r="G73" s="121"/>
      <c r="H73" s="122">
        <f t="shared" si="0"/>
        <v>0</v>
      </c>
      <c r="I73" s="121"/>
      <c r="J73" s="121"/>
      <c r="K73" s="179">
        <f t="shared" si="1"/>
        <v>0</v>
      </c>
      <c r="L73" s="184">
        <f t="shared" si="2"/>
        <v>0</v>
      </c>
      <c r="M73" s="121">
        <f t="shared" si="3"/>
        <v>0</v>
      </c>
      <c r="N73" s="121">
        <f t="shared" si="4"/>
        <v>0</v>
      </c>
      <c r="O73" s="121">
        <f t="shared" si="5"/>
        <v>0</v>
      </c>
      <c r="P73" s="123">
        <f t="shared" si="6"/>
        <v>0</v>
      </c>
    </row>
    <row r="74" spans="1:16" ht="13.2" x14ac:dyDescent="0.2">
      <c r="A74" s="175">
        <v>60</v>
      </c>
      <c r="B74" s="201" t="s">
        <v>60</v>
      </c>
      <c r="C74" s="206" t="s">
        <v>655</v>
      </c>
      <c r="D74" s="203" t="s">
        <v>64</v>
      </c>
      <c r="E74" s="200">
        <v>2</v>
      </c>
      <c r="F74" s="120"/>
      <c r="G74" s="121"/>
      <c r="H74" s="122">
        <f t="shared" si="0"/>
        <v>0</v>
      </c>
      <c r="I74" s="121"/>
      <c r="J74" s="121"/>
      <c r="K74" s="179">
        <f t="shared" si="1"/>
        <v>0</v>
      </c>
      <c r="L74" s="184">
        <f t="shared" si="2"/>
        <v>0</v>
      </c>
      <c r="M74" s="121">
        <f t="shared" si="3"/>
        <v>0</v>
      </c>
      <c r="N74" s="121">
        <f t="shared" si="4"/>
        <v>0</v>
      </c>
      <c r="O74" s="121">
        <f t="shared" si="5"/>
        <v>0</v>
      </c>
      <c r="P74" s="123">
        <f t="shared" si="6"/>
        <v>0</v>
      </c>
    </row>
    <row r="75" spans="1:16" ht="13.2" x14ac:dyDescent="0.2">
      <c r="A75" s="175">
        <v>61</v>
      </c>
      <c r="B75" s="201" t="s">
        <v>60</v>
      </c>
      <c r="C75" s="206" t="s">
        <v>656</v>
      </c>
      <c r="D75" s="203" t="s">
        <v>64</v>
      </c>
      <c r="E75" s="200">
        <v>3</v>
      </c>
      <c r="F75" s="120"/>
      <c r="G75" s="121"/>
      <c r="H75" s="122">
        <f t="shared" si="0"/>
        <v>0</v>
      </c>
      <c r="I75" s="121"/>
      <c r="J75" s="121"/>
      <c r="K75" s="179">
        <f t="shared" si="1"/>
        <v>0</v>
      </c>
      <c r="L75" s="184">
        <f t="shared" si="2"/>
        <v>0</v>
      </c>
      <c r="M75" s="121">
        <f t="shared" si="3"/>
        <v>0</v>
      </c>
      <c r="N75" s="121">
        <f t="shared" si="4"/>
        <v>0</v>
      </c>
      <c r="O75" s="121">
        <f t="shared" si="5"/>
        <v>0</v>
      </c>
      <c r="P75" s="123">
        <f t="shared" si="6"/>
        <v>0</v>
      </c>
    </row>
    <row r="76" spans="1:16" ht="13.2" x14ac:dyDescent="0.2">
      <c r="A76" s="175">
        <v>62</v>
      </c>
      <c r="B76" s="201" t="s">
        <v>60</v>
      </c>
      <c r="C76" s="206" t="s">
        <v>657</v>
      </c>
      <c r="D76" s="203" t="s">
        <v>64</v>
      </c>
      <c r="E76" s="200">
        <v>1</v>
      </c>
      <c r="F76" s="120"/>
      <c r="G76" s="121"/>
      <c r="H76" s="122">
        <f t="shared" si="0"/>
        <v>0</v>
      </c>
      <c r="I76" s="121"/>
      <c r="J76" s="121"/>
      <c r="K76" s="179">
        <f t="shared" si="1"/>
        <v>0</v>
      </c>
      <c r="L76" s="184">
        <f t="shared" si="2"/>
        <v>0</v>
      </c>
      <c r="M76" s="121">
        <f t="shared" si="3"/>
        <v>0</v>
      </c>
      <c r="N76" s="121">
        <f t="shared" si="4"/>
        <v>0</v>
      </c>
      <c r="O76" s="121">
        <f t="shared" si="5"/>
        <v>0</v>
      </c>
      <c r="P76" s="123">
        <f t="shared" si="6"/>
        <v>0</v>
      </c>
    </row>
    <row r="77" spans="1:16" ht="13.2" x14ac:dyDescent="0.2">
      <c r="A77" s="175">
        <v>63</v>
      </c>
      <c r="B77" s="201" t="s">
        <v>60</v>
      </c>
      <c r="C77" s="206" t="s">
        <v>658</v>
      </c>
      <c r="D77" s="203" t="s">
        <v>64</v>
      </c>
      <c r="E77" s="200">
        <v>40</v>
      </c>
      <c r="F77" s="120"/>
      <c r="G77" s="121"/>
      <c r="H77" s="122">
        <f t="shared" si="0"/>
        <v>0</v>
      </c>
      <c r="I77" s="121"/>
      <c r="J77" s="121"/>
      <c r="K77" s="179">
        <f t="shared" si="1"/>
        <v>0</v>
      </c>
      <c r="L77" s="184">
        <f t="shared" si="2"/>
        <v>0</v>
      </c>
      <c r="M77" s="121">
        <f t="shared" si="3"/>
        <v>0</v>
      </c>
      <c r="N77" s="121">
        <f t="shared" si="4"/>
        <v>0</v>
      </c>
      <c r="O77" s="121">
        <f t="shared" si="5"/>
        <v>0</v>
      </c>
      <c r="P77" s="123">
        <f t="shared" si="6"/>
        <v>0</v>
      </c>
    </row>
    <row r="78" spans="1:16" ht="13.2" x14ac:dyDescent="0.2">
      <c r="A78" s="175">
        <v>64</v>
      </c>
      <c r="B78" s="176" t="s">
        <v>60</v>
      </c>
      <c r="C78" s="199" t="s">
        <v>659</v>
      </c>
      <c r="D78" s="176" t="s">
        <v>64</v>
      </c>
      <c r="E78" s="200">
        <v>38</v>
      </c>
      <c r="F78" s="120"/>
      <c r="G78" s="121"/>
      <c r="H78" s="122">
        <f t="shared" si="0"/>
        <v>0</v>
      </c>
      <c r="I78" s="121"/>
      <c r="J78" s="121"/>
      <c r="K78" s="179">
        <f t="shared" si="1"/>
        <v>0</v>
      </c>
      <c r="L78" s="184">
        <f t="shared" si="2"/>
        <v>0</v>
      </c>
      <c r="M78" s="121">
        <f t="shared" si="3"/>
        <v>0</v>
      </c>
      <c r="N78" s="121">
        <f t="shared" si="4"/>
        <v>0</v>
      </c>
      <c r="O78" s="121">
        <f t="shared" si="5"/>
        <v>0</v>
      </c>
      <c r="P78" s="123">
        <f t="shared" si="6"/>
        <v>0</v>
      </c>
    </row>
    <row r="79" spans="1:16" ht="52.8" x14ac:dyDescent="0.2">
      <c r="A79" s="175">
        <v>65</v>
      </c>
      <c r="B79" s="176" t="s">
        <v>60</v>
      </c>
      <c r="C79" s="208" t="s">
        <v>660</v>
      </c>
      <c r="D79" s="176" t="s">
        <v>62</v>
      </c>
      <c r="E79" s="200">
        <v>10</v>
      </c>
      <c r="F79" s="120"/>
      <c r="G79" s="121"/>
      <c r="H79" s="122">
        <f t="shared" ref="H79:H85" si="14">ROUND(F79*G79,2)</f>
        <v>0</v>
      </c>
      <c r="I79" s="121"/>
      <c r="J79" s="121"/>
      <c r="K79" s="179">
        <f t="shared" si="1"/>
        <v>0</v>
      </c>
      <c r="L79" s="184">
        <f t="shared" si="2"/>
        <v>0</v>
      </c>
      <c r="M79" s="121">
        <f t="shared" si="3"/>
        <v>0</v>
      </c>
      <c r="N79" s="121">
        <f t="shared" si="4"/>
        <v>0</v>
      </c>
      <c r="O79" s="121">
        <f t="shared" si="5"/>
        <v>0</v>
      </c>
      <c r="P79" s="123">
        <f t="shared" si="6"/>
        <v>0</v>
      </c>
    </row>
    <row r="80" spans="1:16" ht="52.8" x14ac:dyDescent="0.2">
      <c r="A80" s="175">
        <v>66</v>
      </c>
      <c r="B80" s="176" t="s">
        <v>60</v>
      </c>
      <c r="C80" s="199" t="s">
        <v>661</v>
      </c>
      <c r="D80" s="176" t="s">
        <v>62</v>
      </c>
      <c r="E80" s="200">
        <v>100</v>
      </c>
      <c r="F80" s="120"/>
      <c r="G80" s="121"/>
      <c r="H80" s="122">
        <f t="shared" si="14"/>
        <v>0</v>
      </c>
      <c r="I80" s="121"/>
      <c r="J80" s="121"/>
      <c r="K80" s="179">
        <f t="shared" si="1"/>
        <v>0</v>
      </c>
      <c r="L80" s="184">
        <f t="shared" si="2"/>
        <v>0</v>
      </c>
      <c r="M80" s="121">
        <f t="shared" si="3"/>
        <v>0</v>
      </c>
      <c r="N80" s="121">
        <f t="shared" si="4"/>
        <v>0</v>
      </c>
      <c r="O80" s="121">
        <f t="shared" si="5"/>
        <v>0</v>
      </c>
      <c r="P80" s="123">
        <f t="shared" si="6"/>
        <v>0</v>
      </c>
    </row>
    <row r="81" spans="1:16" ht="52.8" x14ac:dyDescent="0.2">
      <c r="A81" s="175">
        <v>67</v>
      </c>
      <c r="B81" s="176" t="s">
        <v>60</v>
      </c>
      <c r="C81" s="199" t="s">
        <v>662</v>
      </c>
      <c r="D81" s="176" t="s">
        <v>62</v>
      </c>
      <c r="E81" s="200">
        <v>20</v>
      </c>
      <c r="F81" s="120"/>
      <c r="G81" s="121"/>
      <c r="H81" s="122">
        <f t="shared" si="14"/>
        <v>0</v>
      </c>
      <c r="I81" s="121"/>
      <c r="J81" s="121"/>
      <c r="K81" s="179">
        <f t="shared" si="1"/>
        <v>0</v>
      </c>
      <c r="L81" s="184">
        <f t="shared" si="2"/>
        <v>0</v>
      </c>
      <c r="M81" s="121">
        <f t="shared" si="3"/>
        <v>0</v>
      </c>
      <c r="N81" s="121">
        <f t="shared" si="4"/>
        <v>0</v>
      </c>
      <c r="O81" s="121">
        <f t="shared" si="5"/>
        <v>0</v>
      </c>
      <c r="P81" s="123">
        <f t="shared" si="6"/>
        <v>0</v>
      </c>
    </row>
    <row r="82" spans="1:16" ht="52.8" x14ac:dyDescent="0.2">
      <c r="A82" s="175">
        <v>68</v>
      </c>
      <c r="B82" s="176" t="s">
        <v>60</v>
      </c>
      <c r="C82" s="199" t="s">
        <v>663</v>
      </c>
      <c r="D82" s="176" t="s">
        <v>62</v>
      </c>
      <c r="E82" s="200">
        <v>125</v>
      </c>
      <c r="F82" s="120"/>
      <c r="G82" s="121"/>
      <c r="H82" s="122">
        <f t="shared" si="14"/>
        <v>0</v>
      </c>
      <c r="I82" s="121"/>
      <c r="J82" s="121"/>
      <c r="K82" s="179">
        <f t="shared" si="1"/>
        <v>0</v>
      </c>
      <c r="L82" s="184">
        <f t="shared" si="2"/>
        <v>0</v>
      </c>
      <c r="M82" s="121">
        <f t="shared" si="3"/>
        <v>0</v>
      </c>
      <c r="N82" s="121">
        <f t="shared" si="4"/>
        <v>0</v>
      </c>
      <c r="O82" s="121">
        <f t="shared" si="5"/>
        <v>0</v>
      </c>
      <c r="P82" s="123">
        <f t="shared" si="6"/>
        <v>0</v>
      </c>
    </row>
    <row r="83" spans="1:16" ht="52.8" x14ac:dyDescent="0.2">
      <c r="A83" s="175">
        <v>69</v>
      </c>
      <c r="B83" s="176" t="s">
        <v>60</v>
      </c>
      <c r="C83" s="199" t="s">
        <v>664</v>
      </c>
      <c r="D83" s="176" t="s">
        <v>62</v>
      </c>
      <c r="E83" s="119">
        <v>60</v>
      </c>
      <c r="F83" s="120"/>
      <c r="G83" s="121"/>
      <c r="H83" s="122">
        <f t="shared" si="14"/>
        <v>0</v>
      </c>
      <c r="I83" s="121"/>
      <c r="J83" s="121"/>
      <c r="K83" s="179">
        <f t="shared" si="1"/>
        <v>0</v>
      </c>
      <c r="L83" s="184">
        <f t="shared" si="2"/>
        <v>0</v>
      </c>
      <c r="M83" s="121">
        <f t="shared" si="3"/>
        <v>0</v>
      </c>
      <c r="N83" s="121">
        <f t="shared" si="4"/>
        <v>0</v>
      </c>
      <c r="O83" s="121">
        <f t="shared" si="5"/>
        <v>0</v>
      </c>
      <c r="P83" s="123">
        <f t="shared" si="6"/>
        <v>0</v>
      </c>
    </row>
    <row r="84" spans="1:16" ht="52.8" x14ac:dyDescent="0.2">
      <c r="A84" s="175">
        <v>70</v>
      </c>
      <c r="B84" s="201" t="s">
        <v>60</v>
      </c>
      <c r="C84" s="202" t="s">
        <v>665</v>
      </c>
      <c r="D84" s="203" t="s">
        <v>62</v>
      </c>
      <c r="E84" s="200">
        <v>30</v>
      </c>
      <c r="F84" s="120"/>
      <c r="G84" s="121"/>
      <c r="H84" s="122">
        <f t="shared" si="14"/>
        <v>0</v>
      </c>
      <c r="I84" s="121"/>
      <c r="J84" s="121"/>
      <c r="K84" s="179">
        <f t="shared" si="1"/>
        <v>0</v>
      </c>
      <c r="L84" s="184">
        <f t="shared" si="2"/>
        <v>0</v>
      </c>
      <c r="M84" s="121">
        <f t="shared" si="3"/>
        <v>0</v>
      </c>
      <c r="N84" s="121">
        <f t="shared" si="4"/>
        <v>0</v>
      </c>
      <c r="O84" s="121">
        <f t="shared" si="5"/>
        <v>0</v>
      </c>
      <c r="P84" s="123">
        <f t="shared" si="6"/>
        <v>0</v>
      </c>
    </row>
    <row r="85" spans="1:16" ht="52.8" x14ac:dyDescent="0.2">
      <c r="A85" s="175">
        <v>71</v>
      </c>
      <c r="B85" s="201" t="s">
        <v>60</v>
      </c>
      <c r="C85" s="202" t="s">
        <v>666</v>
      </c>
      <c r="D85" s="203" t="s">
        <v>62</v>
      </c>
      <c r="E85" s="200">
        <v>15</v>
      </c>
      <c r="F85" s="120"/>
      <c r="G85" s="121"/>
      <c r="H85" s="122">
        <f t="shared" si="14"/>
        <v>0</v>
      </c>
      <c r="I85" s="121"/>
      <c r="J85" s="121"/>
      <c r="K85" s="179">
        <f t="shared" si="1"/>
        <v>0</v>
      </c>
      <c r="L85" s="184">
        <f t="shared" si="2"/>
        <v>0</v>
      </c>
      <c r="M85" s="121">
        <f t="shared" si="3"/>
        <v>0</v>
      </c>
      <c r="N85" s="121">
        <f t="shared" si="4"/>
        <v>0</v>
      </c>
      <c r="O85" s="121">
        <f t="shared" si="5"/>
        <v>0</v>
      </c>
      <c r="P85" s="123">
        <f t="shared" si="6"/>
        <v>0</v>
      </c>
    </row>
    <row r="86" spans="1:16" ht="13.2" x14ac:dyDescent="0.2">
      <c r="A86" s="175">
        <v>72</v>
      </c>
      <c r="B86" s="176" t="s">
        <v>60</v>
      </c>
      <c r="C86" s="199" t="s">
        <v>139</v>
      </c>
      <c r="D86" s="177" t="s">
        <v>68</v>
      </c>
      <c r="E86" s="200">
        <v>1</v>
      </c>
      <c r="F86" s="120"/>
      <c r="G86" s="121"/>
      <c r="H86" s="122"/>
      <c r="I86" s="121"/>
      <c r="J86" s="121"/>
      <c r="K86" s="179">
        <f t="shared" si="1"/>
        <v>0</v>
      </c>
      <c r="L86" s="184">
        <f t="shared" si="2"/>
        <v>0</v>
      </c>
      <c r="M86" s="121">
        <f t="shared" si="3"/>
        <v>0</v>
      </c>
      <c r="N86" s="121">
        <f t="shared" si="4"/>
        <v>0</v>
      </c>
      <c r="O86" s="121">
        <f t="shared" si="5"/>
        <v>0</v>
      </c>
      <c r="P86" s="123">
        <f t="shared" si="6"/>
        <v>0</v>
      </c>
    </row>
    <row r="87" spans="1:16" ht="13.2" x14ac:dyDescent="0.2">
      <c r="A87" s="175">
        <v>73</v>
      </c>
      <c r="B87" s="176" t="s">
        <v>60</v>
      </c>
      <c r="C87" s="199" t="s">
        <v>667</v>
      </c>
      <c r="D87" s="177" t="s">
        <v>68</v>
      </c>
      <c r="E87" s="200">
        <v>1</v>
      </c>
      <c r="F87" s="120"/>
      <c r="G87" s="121"/>
      <c r="H87" s="122"/>
      <c r="I87" s="121"/>
      <c r="J87" s="121"/>
      <c r="K87" s="179">
        <f t="shared" si="1"/>
        <v>0</v>
      </c>
      <c r="L87" s="184">
        <f t="shared" si="2"/>
        <v>0</v>
      </c>
      <c r="M87" s="121">
        <f t="shared" si="3"/>
        <v>0</v>
      </c>
      <c r="N87" s="121">
        <f t="shared" si="4"/>
        <v>0</v>
      </c>
      <c r="O87" s="121">
        <f t="shared" si="5"/>
        <v>0</v>
      </c>
      <c r="P87" s="123">
        <f t="shared" si="6"/>
        <v>0</v>
      </c>
    </row>
    <row r="88" spans="1:16" ht="13.2" x14ac:dyDescent="0.2">
      <c r="A88" s="175">
        <v>74</v>
      </c>
      <c r="B88" s="176" t="s">
        <v>60</v>
      </c>
      <c r="C88" s="199" t="s">
        <v>140</v>
      </c>
      <c r="D88" s="177" t="s">
        <v>68</v>
      </c>
      <c r="E88" s="119">
        <v>1</v>
      </c>
      <c r="F88" s="120"/>
      <c r="G88" s="121"/>
      <c r="H88" s="122"/>
      <c r="I88" s="121"/>
      <c r="J88" s="121"/>
      <c r="K88" s="179">
        <f t="shared" si="1"/>
        <v>0</v>
      </c>
      <c r="L88" s="184">
        <f t="shared" si="2"/>
        <v>0</v>
      </c>
      <c r="M88" s="121">
        <f t="shared" si="3"/>
        <v>0</v>
      </c>
      <c r="N88" s="121">
        <f t="shared" si="4"/>
        <v>0</v>
      </c>
      <c r="O88" s="121">
        <f t="shared" si="5"/>
        <v>0</v>
      </c>
      <c r="P88" s="123">
        <f t="shared" si="6"/>
        <v>0</v>
      </c>
    </row>
    <row r="89" spans="1:16" ht="13.2" x14ac:dyDescent="0.2">
      <c r="A89" s="175">
        <v>75</v>
      </c>
      <c r="B89" s="176" t="s">
        <v>60</v>
      </c>
      <c r="C89" s="199" t="s">
        <v>141</v>
      </c>
      <c r="D89" s="177" t="s">
        <v>68</v>
      </c>
      <c r="E89" s="119">
        <v>1</v>
      </c>
      <c r="F89" s="120"/>
      <c r="G89" s="121"/>
      <c r="H89" s="122"/>
      <c r="I89" s="121"/>
      <c r="J89" s="121"/>
      <c r="K89" s="179">
        <f t="shared" si="1"/>
        <v>0</v>
      </c>
      <c r="L89" s="184">
        <f t="shared" si="2"/>
        <v>0</v>
      </c>
      <c r="M89" s="121">
        <f t="shared" si="3"/>
        <v>0</v>
      </c>
      <c r="N89" s="121">
        <f t="shared" si="4"/>
        <v>0</v>
      </c>
      <c r="O89" s="121">
        <f t="shared" si="5"/>
        <v>0</v>
      </c>
      <c r="P89" s="123">
        <f t="shared" si="6"/>
        <v>0</v>
      </c>
    </row>
    <row r="90" spans="1:16" ht="13.2" x14ac:dyDescent="0.2">
      <c r="A90" s="175">
        <v>76</v>
      </c>
      <c r="B90" s="176" t="s">
        <v>60</v>
      </c>
      <c r="C90" s="199" t="s">
        <v>120</v>
      </c>
      <c r="D90" s="177" t="s">
        <v>68</v>
      </c>
      <c r="E90" s="119">
        <v>1</v>
      </c>
      <c r="F90" s="120"/>
      <c r="G90" s="121"/>
      <c r="H90" s="122"/>
      <c r="I90" s="121"/>
      <c r="J90" s="121"/>
      <c r="K90" s="179">
        <f t="shared" si="1"/>
        <v>0</v>
      </c>
      <c r="L90" s="184">
        <f t="shared" si="2"/>
        <v>0</v>
      </c>
      <c r="M90" s="121">
        <f t="shared" si="3"/>
        <v>0</v>
      </c>
      <c r="N90" s="121">
        <f t="shared" si="4"/>
        <v>0</v>
      </c>
      <c r="O90" s="121">
        <f t="shared" si="5"/>
        <v>0</v>
      </c>
      <c r="P90" s="123">
        <f t="shared" si="6"/>
        <v>0</v>
      </c>
    </row>
    <row r="91" spans="1:16" ht="13.2" x14ac:dyDescent="0.2">
      <c r="A91" s="175">
        <v>77</v>
      </c>
      <c r="B91" s="176" t="s">
        <v>60</v>
      </c>
      <c r="C91" s="199" t="s">
        <v>142</v>
      </c>
      <c r="D91" s="177" t="s">
        <v>68</v>
      </c>
      <c r="E91" s="119">
        <v>1</v>
      </c>
      <c r="F91" s="120"/>
      <c r="G91" s="121"/>
      <c r="H91" s="122"/>
      <c r="I91" s="121"/>
      <c r="J91" s="121"/>
      <c r="K91" s="179">
        <f t="shared" si="1"/>
        <v>0</v>
      </c>
      <c r="L91" s="184">
        <f t="shared" si="2"/>
        <v>0</v>
      </c>
      <c r="M91" s="121">
        <f t="shared" si="3"/>
        <v>0</v>
      </c>
      <c r="N91" s="121">
        <f t="shared" si="4"/>
        <v>0</v>
      </c>
      <c r="O91" s="121">
        <f t="shared" si="5"/>
        <v>0</v>
      </c>
      <c r="P91" s="123">
        <f t="shared" si="6"/>
        <v>0</v>
      </c>
    </row>
    <row r="92" spans="1:16" ht="26.4" x14ac:dyDescent="0.2">
      <c r="A92" s="175">
        <v>78</v>
      </c>
      <c r="B92" s="201" t="s">
        <v>60</v>
      </c>
      <c r="C92" s="100" t="s">
        <v>668</v>
      </c>
      <c r="D92" s="205" t="s">
        <v>68</v>
      </c>
      <c r="E92" s="119">
        <v>1</v>
      </c>
      <c r="F92" s="120"/>
      <c r="G92" s="121"/>
      <c r="H92" s="122">
        <f t="shared" ref="H92:H100" si="15">ROUND(F92*G92,2)</f>
        <v>0</v>
      </c>
      <c r="I92" s="121"/>
      <c r="J92" s="121"/>
      <c r="K92" s="179">
        <f t="shared" ref="K92:K100" si="16">ROUND(H92+J92+I92,2)</f>
        <v>0</v>
      </c>
      <c r="L92" s="184">
        <f t="shared" ref="L92:L100" si="17">ROUND(E92*F92,2)</f>
        <v>0</v>
      </c>
      <c r="M92" s="121">
        <f t="shared" ref="M92:M100" si="18">ROUND(E92*H92,2)</f>
        <v>0</v>
      </c>
      <c r="N92" s="121">
        <f t="shared" ref="N92:N100" si="19">ROUND(E92*I92,2)</f>
        <v>0</v>
      </c>
      <c r="O92" s="121">
        <f t="shared" ref="O92:O100" si="20">ROUND(E92*J92,2)</f>
        <v>0</v>
      </c>
      <c r="P92" s="123">
        <f t="shared" ref="P92:P100" si="21">ROUND(O92+N92+M92,2)</f>
        <v>0</v>
      </c>
    </row>
    <row r="93" spans="1:16" ht="26.4" x14ac:dyDescent="0.2">
      <c r="A93" s="175">
        <v>79</v>
      </c>
      <c r="B93" s="201" t="s">
        <v>60</v>
      </c>
      <c r="C93" s="100" t="s">
        <v>143</v>
      </c>
      <c r="D93" s="205" t="s">
        <v>68</v>
      </c>
      <c r="E93" s="119">
        <f>E68</f>
        <v>230</v>
      </c>
      <c r="F93" s="120"/>
      <c r="G93" s="121"/>
      <c r="H93" s="122">
        <f t="shared" si="15"/>
        <v>0</v>
      </c>
      <c r="I93" s="121"/>
      <c r="J93" s="121"/>
      <c r="K93" s="179">
        <f t="shared" si="16"/>
        <v>0</v>
      </c>
      <c r="L93" s="184">
        <f t="shared" si="17"/>
        <v>0</v>
      </c>
      <c r="M93" s="121">
        <f t="shared" si="18"/>
        <v>0</v>
      </c>
      <c r="N93" s="121">
        <f t="shared" si="19"/>
        <v>0</v>
      </c>
      <c r="O93" s="121">
        <f t="shared" si="20"/>
        <v>0</v>
      </c>
      <c r="P93" s="123">
        <f t="shared" si="21"/>
        <v>0</v>
      </c>
    </row>
    <row r="94" spans="1:16" ht="13.2" x14ac:dyDescent="0.2">
      <c r="A94" s="175">
        <v>80</v>
      </c>
      <c r="B94" s="201" t="s">
        <v>60</v>
      </c>
      <c r="C94" s="100" t="s">
        <v>144</v>
      </c>
      <c r="D94" s="205" t="s">
        <v>68</v>
      </c>
      <c r="E94" s="119">
        <f>E93-12</f>
        <v>218</v>
      </c>
      <c r="F94" s="120"/>
      <c r="G94" s="121"/>
      <c r="H94" s="122">
        <f t="shared" si="15"/>
        <v>0</v>
      </c>
      <c r="I94" s="121"/>
      <c r="J94" s="121"/>
      <c r="K94" s="179">
        <f t="shared" si="16"/>
        <v>0</v>
      </c>
      <c r="L94" s="184">
        <f t="shared" si="17"/>
        <v>0</v>
      </c>
      <c r="M94" s="121">
        <f t="shared" si="18"/>
        <v>0</v>
      </c>
      <c r="N94" s="121">
        <f t="shared" si="19"/>
        <v>0</v>
      </c>
      <c r="O94" s="121">
        <f t="shared" si="20"/>
        <v>0</v>
      </c>
      <c r="P94" s="123">
        <f t="shared" si="21"/>
        <v>0</v>
      </c>
    </row>
    <row r="95" spans="1:16" ht="13.2" x14ac:dyDescent="0.2">
      <c r="A95" s="175">
        <v>81</v>
      </c>
      <c r="B95" s="201" t="s">
        <v>60</v>
      </c>
      <c r="C95" s="100" t="s">
        <v>145</v>
      </c>
      <c r="D95" s="205" t="s">
        <v>68</v>
      </c>
      <c r="E95" s="119">
        <v>1</v>
      </c>
      <c r="F95" s="120"/>
      <c r="G95" s="121"/>
      <c r="H95" s="122">
        <f t="shared" si="15"/>
        <v>0</v>
      </c>
      <c r="I95" s="121"/>
      <c r="J95" s="121"/>
      <c r="K95" s="179">
        <f t="shared" si="16"/>
        <v>0</v>
      </c>
      <c r="L95" s="184">
        <f t="shared" si="17"/>
        <v>0</v>
      </c>
      <c r="M95" s="121">
        <f t="shared" si="18"/>
        <v>0</v>
      </c>
      <c r="N95" s="121">
        <f t="shared" si="19"/>
        <v>0</v>
      </c>
      <c r="O95" s="121">
        <f t="shared" si="20"/>
        <v>0</v>
      </c>
      <c r="P95" s="123">
        <f t="shared" si="21"/>
        <v>0</v>
      </c>
    </row>
    <row r="96" spans="1:16" ht="39.6" x14ac:dyDescent="0.2">
      <c r="A96" s="175">
        <v>82</v>
      </c>
      <c r="B96" s="201" t="s">
        <v>60</v>
      </c>
      <c r="C96" s="100" t="s">
        <v>669</v>
      </c>
      <c r="D96" s="205" t="s">
        <v>64</v>
      </c>
      <c r="E96" s="119">
        <f>19*12</f>
        <v>228</v>
      </c>
      <c r="F96" s="120"/>
      <c r="G96" s="121"/>
      <c r="H96" s="122">
        <f t="shared" si="15"/>
        <v>0</v>
      </c>
      <c r="I96" s="121"/>
      <c r="J96" s="121"/>
      <c r="K96" s="179">
        <f t="shared" si="16"/>
        <v>0</v>
      </c>
      <c r="L96" s="184">
        <f t="shared" si="17"/>
        <v>0</v>
      </c>
      <c r="M96" s="121">
        <f t="shared" si="18"/>
        <v>0</v>
      </c>
      <c r="N96" s="121">
        <f t="shared" si="19"/>
        <v>0</v>
      </c>
      <c r="O96" s="121">
        <f t="shared" si="20"/>
        <v>0</v>
      </c>
      <c r="P96" s="123">
        <f t="shared" si="21"/>
        <v>0</v>
      </c>
    </row>
    <row r="97" spans="1:16" ht="26.4" x14ac:dyDescent="0.2">
      <c r="A97" s="175">
        <v>83</v>
      </c>
      <c r="B97" s="201" t="s">
        <v>60</v>
      </c>
      <c r="C97" s="100" t="s">
        <v>670</v>
      </c>
      <c r="D97" s="205" t="s">
        <v>259</v>
      </c>
      <c r="E97" s="119">
        <f>8*13</f>
        <v>104</v>
      </c>
      <c r="F97" s="120"/>
      <c r="G97" s="121"/>
      <c r="H97" s="122">
        <f t="shared" si="15"/>
        <v>0</v>
      </c>
      <c r="I97" s="121"/>
      <c r="J97" s="121"/>
      <c r="K97" s="179">
        <f t="shared" si="16"/>
        <v>0</v>
      </c>
      <c r="L97" s="184">
        <f t="shared" si="17"/>
        <v>0</v>
      </c>
      <c r="M97" s="121">
        <f t="shared" si="18"/>
        <v>0</v>
      </c>
      <c r="N97" s="121">
        <f t="shared" si="19"/>
        <v>0</v>
      </c>
      <c r="O97" s="121">
        <f t="shared" si="20"/>
        <v>0</v>
      </c>
      <c r="P97" s="123">
        <f t="shared" si="21"/>
        <v>0</v>
      </c>
    </row>
    <row r="98" spans="1:16" ht="13.2" x14ac:dyDescent="0.2">
      <c r="A98" s="209">
        <v>84</v>
      </c>
      <c r="B98" s="201" t="s">
        <v>60</v>
      </c>
      <c r="C98" s="100" t="s">
        <v>146</v>
      </c>
      <c r="D98" s="205" t="s">
        <v>138</v>
      </c>
      <c r="E98" s="119">
        <v>1</v>
      </c>
      <c r="F98" s="120"/>
      <c r="G98" s="121"/>
      <c r="H98" s="122">
        <f t="shared" si="15"/>
        <v>0</v>
      </c>
      <c r="I98" s="121"/>
      <c r="J98" s="121"/>
      <c r="K98" s="179">
        <f t="shared" si="16"/>
        <v>0</v>
      </c>
      <c r="L98" s="184">
        <f t="shared" si="17"/>
        <v>0</v>
      </c>
      <c r="M98" s="121">
        <f t="shared" si="18"/>
        <v>0</v>
      </c>
      <c r="N98" s="121">
        <f t="shared" si="19"/>
        <v>0</v>
      </c>
      <c r="O98" s="121">
        <f t="shared" si="20"/>
        <v>0</v>
      </c>
      <c r="P98" s="123">
        <f t="shared" si="21"/>
        <v>0</v>
      </c>
    </row>
    <row r="99" spans="1:16" ht="13.2" x14ac:dyDescent="0.2">
      <c r="A99" s="209">
        <v>85</v>
      </c>
      <c r="B99" s="201" t="s">
        <v>60</v>
      </c>
      <c r="C99" s="100" t="s">
        <v>147</v>
      </c>
      <c r="D99" s="205" t="s">
        <v>138</v>
      </c>
      <c r="E99" s="119">
        <v>1</v>
      </c>
      <c r="F99" s="120"/>
      <c r="G99" s="121"/>
      <c r="H99" s="122">
        <f t="shared" si="15"/>
        <v>0</v>
      </c>
      <c r="I99" s="121"/>
      <c r="J99" s="121"/>
      <c r="K99" s="179">
        <f t="shared" si="16"/>
        <v>0</v>
      </c>
      <c r="L99" s="184">
        <f t="shared" si="17"/>
        <v>0</v>
      </c>
      <c r="M99" s="121">
        <f t="shared" si="18"/>
        <v>0</v>
      </c>
      <c r="N99" s="121">
        <f t="shared" si="19"/>
        <v>0</v>
      </c>
      <c r="O99" s="121">
        <f t="shared" si="20"/>
        <v>0</v>
      </c>
      <c r="P99" s="123">
        <f t="shared" si="21"/>
        <v>0</v>
      </c>
    </row>
    <row r="100" spans="1:16" ht="13.8" thickBot="1" x14ac:dyDescent="0.25">
      <c r="A100" s="209">
        <v>86</v>
      </c>
      <c r="B100" s="201" t="s">
        <v>60</v>
      </c>
      <c r="C100" s="100" t="s">
        <v>148</v>
      </c>
      <c r="D100" s="205" t="s">
        <v>138</v>
      </c>
      <c r="E100" s="119">
        <v>1</v>
      </c>
      <c r="F100" s="120"/>
      <c r="G100" s="121"/>
      <c r="H100" s="122">
        <f t="shared" si="15"/>
        <v>0</v>
      </c>
      <c r="I100" s="121"/>
      <c r="J100" s="121"/>
      <c r="K100" s="179">
        <f t="shared" si="16"/>
        <v>0</v>
      </c>
      <c r="L100" s="184">
        <f t="shared" si="17"/>
        <v>0</v>
      </c>
      <c r="M100" s="121">
        <f t="shared" si="18"/>
        <v>0</v>
      </c>
      <c r="N100" s="121">
        <f t="shared" si="19"/>
        <v>0</v>
      </c>
      <c r="O100" s="121">
        <f t="shared" si="20"/>
        <v>0</v>
      </c>
      <c r="P100" s="123">
        <f t="shared" si="21"/>
        <v>0</v>
      </c>
    </row>
    <row r="101" spans="1:16" ht="10.8" thickBot="1" x14ac:dyDescent="0.25">
      <c r="A101" s="285" t="s">
        <v>700</v>
      </c>
      <c r="B101" s="286"/>
      <c r="C101" s="286"/>
      <c r="D101" s="286"/>
      <c r="E101" s="286"/>
      <c r="F101" s="286"/>
      <c r="G101" s="286"/>
      <c r="H101" s="286"/>
      <c r="I101" s="286"/>
      <c r="J101" s="286"/>
      <c r="K101" s="287"/>
      <c r="L101" s="69">
        <f>SUM(L14:L100)</f>
        <v>0</v>
      </c>
      <c r="M101" s="70">
        <f>SUM(M14:M100)</f>
        <v>0</v>
      </c>
      <c r="N101" s="70">
        <f>SUM(N14:N100)</f>
        <v>0</v>
      </c>
      <c r="O101" s="70">
        <f>SUM(O14:O100)</f>
        <v>0</v>
      </c>
      <c r="P101" s="71">
        <f>SUM(P14:P100)</f>
        <v>0</v>
      </c>
    </row>
    <row r="102" spans="1:16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1:16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1:16" x14ac:dyDescent="0.2">
      <c r="A104" s="1" t="s">
        <v>14</v>
      </c>
      <c r="B104" s="17"/>
      <c r="C104" s="284">
        <f>'Kops a'!C37:H37</f>
        <v>0</v>
      </c>
      <c r="D104" s="284"/>
      <c r="E104" s="284"/>
      <c r="F104" s="284"/>
      <c r="G104" s="284"/>
      <c r="H104" s="284"/>
      <c r="I104" s="17"/>
      <c r="J104" s="17"/>
      <c r="K104" s="17"/>
      <c r="L104" s="17"/>
      <c r="M104" s="17"/>
      <c r="N104" s="17"/>
      <c r="O104" s="17"/>
      <c r="P104" s="17"/>
    </row>
    <row r="105" spans="1:16" x14ac:dyDescent="0.2">
      <c r="A105" s="17"/>
      <c r="B105" s="17"/>
      <c r="C105" s="219" t="s">
        <v>15</v>
      </c>
      <c r="D105" s="219"/>
      <c r="E105" s="219"/>
      <c r="F105" s="219"/>
      <c r="G105" s="219"/>
      <c r="H105" s="219"/>
      <c r="I105" s="17"/>
      <c r="J105" s="17"/>
      <c r="K105" s="17"/>
      <c r="L105" s="17"/>
      <c r="M105" s="17"/>
      <c r="N105" s="17"/>
      <c r="O105" s="17"/>
      <c r="P105" s="17"/>
    </row>
    <row r="106" spans="1:16" x14ac:dyDescent="0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  <row r="107" spans="1:16" x14ac:dyDescent="0.2">
      <c r="A107" s="88" t="str">
        <f>'Kops a'!A40</f>
        <v xml:space="preserve">Tāme sastādīta </v>
      </c>
      <c r="B107" s="89"/>
      <c r="C107" s="89"/>
      <c r="D107" s="89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1:16" x14ac:dyDescent="0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1:16" x14ac:dyDescent="0.2">
      <c r="A109" s="1" t="s">
        <v>37</v>
      </c>
      <c r="B109" s="17"/>
      <c r="C109" s="284">
        <f>'Kops a'!C42:H42</f>
        <v>0</v>
      </c>
      <c r="D109" s="284"/>
      <c r="E109" s="284"/>
      <c r="F109" s="284"/>
      <c r="G109" s="284"/>
      <c r="H109" s="284"/>
      <c r="I109" s="17"/>
      <c r="J109" s="17"/>
      <c r="K109" s="17"/>
      <c r="L109" s="17"/>
      <c r="M109" s="17"/>
      <c r="N109" s="17"/>
      <c r="O109" s="17"/>
      <c r="P109" s="17"/>
    </row>
    <row r="110" spans="1:16" x14ac:dyDescent="0.2">
      <c r="A110" s="17"/>
      <c r="B110" s="17"/>
      <c r="C110" s="219" t="s">
        <v>15</v>
      </c>
      <c r="D110" s="219"/>
      <c r="E110" s="219"/>
      <c r="F110" s="219"/>
      <c r="G110" s="219"/>
      <c r="H110" s="219"/>
      <c r="I110" s="17"/>
      <c r="J110" s="17"/>
      <c r="K110" s="17"/>
      <c r="L110" s="17"/>
      <c r="M110" s="17"/>
      <c r="N110" s="17"/>
      <c r="O110" s="17"/>
      <c r="P110" s="17"/>
    </row>
    <row r="111" spans="1:16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</row>
    <row r="112" spans="1:16" x14ac:dyDescent="0.2">
      <c r="A112" s="88" t="s">
        <v>54</v>
      </c>
      <c r="B112" s="89"/>
      <c r="C112" s="93">
        <f>'Kops a'!C45</f>
        <v>0</v>
      </c>
      <c r="D112" s="50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1:16" x14ac:dyDescent="0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</sheetData>
  <mergeCells count="22">
    <mergeCell ref="C110:H110"/>
    <mergeCell ref="C4:I4"/>
    <mergeCell ref="F12:K12"/>
    <mergeCell ref="J9:M9"/>
    <mergeCell ref="D8:L8"/>
    <mergeCell ref="A101:K101"/>
    <mergeCell ref="C104:H104"/>
    <mergeCell ref="C105:H105"/>
    <mergeCell ref="C109:H109"/>
    <mergeCell ref="A9:F9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4:G100 I14:J100">
    <cfRule type="cellIs" dxfId="34" priority="26" operator="equal">
      <formula>0</formula>
    </cfRule>
  </conditionalFormatting>
  <conditionalFormatting sqref="N9:O9 H14:H100 K14:P100">
    <cfRule type="cellIs" dxfId="33" priority="25" operator="equal">
      <formula>0</formula>
    </cfRule>
  </conditionalFormatting>
  <conditionalFormatting sqref="A9:F9">
    <cfRule type="containsText" dxfId="32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31" priority="22" operator="equal">
      <formula>0</formula>
    </cfRule>
  </conditionalFormatting>
  <conditionalFormatting sqref="O10">
    <cfRule type="cellIs" dxfId="30" priority="21" operator="equal">
      <formula>"20__. gada __. _________"</formula>
    </cfRule>
  </conditionalFormatting>
  <conditionalFormatting sqref="A101:K101">
    <cfRule type="containsText" dxfId="29" priority="20" operator="containsText" text="Tiešās izmaksas kopā, t. sk. darba devēja sociālais nodoklis __.__% ">
      <formula>NOT(ISERROR(SEARCH("Tiešās izmaksas kopā, t. sk. darba devēja sociālais nodoklis __.__% ",A101)))</formula>
    </cfRule>
  </conditionalFormatting>
  <conditionalFormatting sqref="L101:P101">
    <cfRule type="cellIs" dxfId="28" priority="15" operator="equal">
      <formula>0</formula>
    </cfRule>
  </conditionalFormatting>
  <conditionalFormatting sqref="C4:I4">
    <cfRule type="cellIs" dxfId="27" priority="14" operator="equal">
      <formula>0</formula>
    </cfRule>
  </conditionalFormatting>
  <conditionalFormatting sqref="D5:L8">
    <cfRule type="cellIs" dxfId="26" priority="11" operator="equal">
      <formula>0</formula>
    </cfRule>
  </conditionalFormatting>
  <conditionalFormatting sqref="P10">
    <cfRule type="cellIs" dxfId="25" priority="7" operator="equal">
      <formula>"20__. gada __. _________"</formula>
    </cfRule>
  </conditionalFormatting>
  <conditionalFormatting sqref="C109:H109">
    <cfRule type="cellIs" dxfId="24" priority="4" operator="equal">
      <formula>0</formula>
    </cfRule>
  </conditionalFormatting>
  <conditionalFormatting sqref="C104:H104">
    <cfRule type="cellIs" dxfId="23" priority="3" operator="equal">
      <formula>0</formula>
    </cfRule>
  </conditionalFormatting>
  <conditionalFormatting sqref="C109:H109 C112 C104:H104">
    <cfRule type="cellIs" dxfId="22" priority="2" operator="equal">
      <formula>0</formula>
    </cfRule>
  </conditionalFormatting>
  <conditionalFormatting sqref="D1">
    <cfRule type="cellIs" dxfId="21" priority="1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FF7EA908-55EC-4C43-BFD3-676EB2F59EFD}">
            <xm:f>NOT(ISERROR(SEARCH("Tāme sastādīta ____. gada ___. ______________",A107)))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A107</xm:sqref>
        </x14:conditionalFormatting>
        <x14:conditionalFormatting xmlns:xm="http://schemas.microsoft.com/office/excel/2006/main">
          <x14:cfRule type="containsText" priority="5" operator="containsText" id="{7D30F4F9-54F3-4EAD-9065-3BE0F6D67384}">
            <xm:f>NOT(ISERROR(SEARCH("Sertifikāta Nr. _________________________________",A112)))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A112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P52"/>
  <sheetViews>
    <sheetView topLeftCell="A22" workbookViewId="0">
      <selection activeCell="H50" sqref="H50"/>
    </sheetView>
  </sheetViews>
  <sheetFormatPr defaultColWidth="9.109375" defaultRowHeight="10.199999999999999" x14ac:dyDescent="0.2"/>
  <cols>
    <col min="1" max="1" width="4.5546875" style="1" customWidth="1"/>
    <col min="2" max="2" width="9.44140625" style="1" bestFit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7" width="9.109375" style="1"/>
    <col min="18" max="18" width="12.6640625" style="1" customWidth="1"/>
    <col min="19" max="16384" width="9.109375" style="1"/>
  </cols>
  <sheetData>
    <row r="1" spans="1:16" x14ac:dyDescent="0.2">
      <c r="A1" s="23"/>
      <c r="B1" s="23"/>
      <c r="C1" s="27" t="s">
        <v>38</v>
      </c>
      <c r="D1" s="51">
        <f>'Kops a'!A27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267" t="s">
        <v>149</v>
      </c>
      <c r="D2" s="267"/>
      <c r="E2" s="267"/>
      <c r="F2" s="267"/>
      <c r="G2" s="267"/>
      <c r="H2" s="267"/>
      <c r="I2" s="267"/>
      <c r="J2" s="29"/>
    </row>
    <row r="3" spans="1:16" x14ac:dyDescent="0.2">
      <c r="A3" s="30"/>
      <c r="B3" s="30"/>
      <c r="C3" s="228" t="s">
        <v>17</v>
      </c>
      <c r="D3" s="228"/>
      <c r="E3" s="228"/>
      <c r="F3" s="228"/>
      <c r="G3" s="228"/>
      <c r="H3" s="228"/>
      <c r="I3" s="228"/>
      <c r="J3" s="30"/>
    </row>
    <row r="4" spans="1:16" x14ac:dyDescent="0.2">
      <c r="A4" s="30"/>
      <c r="B4" s="30"/>
      <c r="C4" s="268" t="s">
        <v>52</v>
      </c>
      <c r="D4" s="268"/>
      <c r="E4" s="268"/>
      <c r="F4" s="268"/>
      <c r="G4" s="268"/>
      <c r="H4" s="268"/>
      <c r="I4" s="268"/>
      <c r="J4" s="30"/>
    </row>
    <row r="5" spans="1:16" x14ac:dyDescent="0.2">
      <c r="A5" s="23"/>
      <c r="B5" s="23"/>
      <c r="C5" s="27" t="s">
        <v>5</v>
      </c>
      <c r="D5" s="281" t="str">
        <f>'Kops a'!D6</f>
        <v>DAUDZDZĪVOKĻU DZĪVOJAMĀ ĒKA</v>
      </c>
      <c r="E5" s="281"/>
      <c r="F5" s="281"/>
      <c r="G5" s="281"/>
      <c r="H5" s="281"/>
      <c r="I5" s="281"/>
      <c r="J5" s="281"/>
      <c r="K5" s="281"/>
      <c r="L5" s="281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281" t="str">
        <f>'Kops a'!D7</f>
        <v>ENERGOEFEKTIVITĀTES PAAUGSTINĀŠANA DAUDZDZĪVOKĻU DZĪVOJAMAI ĒKAI</v>
      </c>
      <c r="E6" s="281"/>
      <c r="F6" s="281"/>
      <c r="G6" s="281"/>
      <c r="H6" s="281"/>
      <c r="I6" s="281"/>
      <c r="J6" s="281"/>
      <c r="K6" s="281"/>
      <c r="L6" s="281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281" t="str">
        <f>'Kops a'!D8</f>
        <v>Pasta iela 34, Jelgava, ēkas kad. apz. 0900 001 0177 001</v>
      </c>
      <c r="E7" s="281"/>
      <c r="F7" s="281"/>
      <c r="G7" s="281"/>
      <c r="H7" s="281"/>
      <c r="I7" s="281"/>
      <c r="J7" s="281"/>
      <c r="K7" s="281"/>
      <c r="L7" s="281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281">
        <f>'Kops a'!D9</f>
        <v>0</v>
      </c>
      <c r="E8" s="281"/>
      <c r="F8" s="281"/>
      <c r="G8" s="281"/>
      <c r="H8" s="281"/>
      <c r="I8" s="281"/>
      <c r="J8" s="281"/>
      <c r="K8" s="281"/>
      <c r="L8" s="281"/>
      <c r="M8" s="17"/>
      <c r="N8" s="17"/>
      <c r="O8" s="17"/>
      <c r="P8" s="17"/>
    </row>
    <row r="9" spans="1:16" ht="11.25" customHeight="1" x14ac:dyDescent="0.2">
      <c r="A9" s="269" t="s">
        <v>702</v>
      </c>
      <c r="B9" s="269"/>
      <c r="C9" s="269"/>
      <c r="D9" s="269"/>
      <c r="E9" s="269"/>
      <c r="F9" s="269"/>
      <c r="G9" s="31"/>
      <c r="H9" s="31"/>
      <c r="I9" s="31"/>
      <c r="J9" s="273" t="s">
        <v>39</v>
      </c>
      <c r="K9" s="273"/>
      <c r="L9" s="273"/>
      <c r="M9" s="273"/>
      <c r="N9" s="280">
        <f>P40</f>
        <v>0</v>
      </c>
      <c r="O9" s="280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1"/>
      <c r="P10" s="90" t="str">
        <f>A46</f>
        <v xml:space="preserve">Tāme sastādīta 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239" t="s">
        <v>23</v>
      </c>
      <c r="B12" s="275" t="s">
        <v>40</v>
      </c>
      <c r="C12" s="271" t="s">
        <v>41</v>
      </c>
      <c r="D12" s="278" t="s">
        <v>42</v>
      </c>
      <c r="E12" s="282" t="s">
        <v>43</v>
      </c>
      <c r="F12" s="270" t="s">
        <v>44</v>
      </c>
      <c r="G12" s="271"/>
      <c r="H12" s="271"/>
      <c r="I12" s="271"/>
      <c r="J12" s="271"/>
      <c r="K12" s="272"/>
      <c r="L12" s="270" t="s">
        <v>45</v>
      </c>
      <c r="M12" s="271"/>
      <c r="N12" s="271"/>
      <c r="O12" s="271"/>
      <c r="P12" s="272"/>
    </row>
    <row r="13" spans="1:16" ht="126.75" customHeight="1" thickBot="1" x14ac:dyDescent="0.25">
      <c r="A13" s="274"/>
      <c r="B13" s="276"/>
      <c r="C13" s="277"/>
      <c r="D13" s="279"/>
      <c r="E13" s="283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ht="13.2" x14ac:dyDescent="0.2">
      <c r="A14" s="101"/>
      <c r="B14" s="102"/>
      <c r="C14" s="103" t="s">
        <v>150</v>
      </c>
      <c r="D14" s="104"/>
      <c r="E14" s="105"/>
      <c r="F14" s="138"/>
      <c r="G14" s="139"/>
      <c r="H14" s="139"/>
      <c r="I14" s="139"/>
      <c r="J14" s="139"/>
      <c r="K14" s="131"/>
      <c r="L14" s="131"/>
      <c r="M14" s="131"/>
      <c r="N14" s="131"/>
      <c r="O14" s="131"/>
      <c r="P14" s="133"/>
    </row>
    <row r="15" spans="1:16" ht="13.2" x14ac:dyDescent="0.2">
      <c r="A15" s="110">
        <v>1</v>
      </c>
      <c r="B15" s="106" t="s">
        <v>60</v>
      </c>
      <c r="C15" s="111" t="s">
        <v>671</v>
      </c>
      <c r="D15" s="106" t="s">
        <v>64</v>
      </c>
      <c r="E15" s="112">
        <v>1</v>
      </c>
      <c r="F15" s="120"/>
      <c r="G15" s="121"/>
      <c r="H15" s="122">
        <f>ROUND(F15*G15,2)</f>
        <v>0</v>
      </c>
      <c r="I15" s="121"/>
      <c r="J15" s="121"/>
      <c r="K15" s="121">
        <f t="shared" ref="K15:K26" si="0">ROUND(H15+J15+I15,2)</f>
        <v>0</v>
      </c>
      <c r="L15" s="121">
        <f t="shared" ref="L15:L26" si="1">ROUND(E15*F15,2)</f>
        <v>0</v>
      </c>
      <c r="M15" s="121">
        <f t="shared" ref="M15:M26" si="2">ROUND(E15*H15,2)</f>
        <v>0</v>
      </c>
      <c r="N15" s="121">
        <f t="shared" ref="N15:N26" si="3">ROUND(E15*I15,2)</f>
        <v>0</v>
      </c>
      <c r="O15" s="121">
        <f t="shared" ref="O15:O26" si="4">ROUND(E15*J15,2)</f>
        <v>0</v>
      </c>
      <c r="P15" s="123">
        <f t="shared" ref="P15:P26" si="5">ROUND(O15+N15+M15,2)</f>
        <v>0</v>
      </c>
    </row>
    <row r="16" spans="1:16" ht="13.2" x14ac:dyDescent="0.2">
      <c r="A16" s="110">
        <v>2</v>
      </c>
      <c r="B16" s="106" t="s">
        <v>60</v>
      </c>
      <c r="C16" s="111" t="s">
        <v>672</v>
      </c>
      <c r="D16" s="106" t="s">
        <v>62</v>
      </c>
      <c r="E16" s="112">
        <v>150</v>
      </c>
      <c r="F16" s="120"/>
      <c r="G16" s="121"/>
      <c r="H16" s="122">
        <f t="shared" ref="H16:H20" si="6">ROUND(F16*G16,2)</f>
        <v>0</v>
      </c>
      <c r="I16" s="121"/>
      <c r="J16" s="121"/>
      <c r="K16" s="121">
        <f t="shared" si="0"/>
        <v>0</v>
      </c>
      <c r="L16" s="121">
        <f t="shared" si="1"/>
        <v>0</v>
      </c>
      <c r="M16" s="121">
        <f t="shared" si="2"/>
        <v>0</v>
      </c>
      <c r="N16" s="121">
        <f t="shared" si="3"/>
        <v>0</v>
      </c>
      <c r="O16" s="121">
        <f t="shared" si="4"/>
        <v>0</v>
      </c>
      <c r="P16" s="123">
        <f t="shared" si="5"/>
        <v>0</v>
      </c>
    </row>
    <row r="17" spans="1:16" ht="26.4" x14ac:dyDescent="0.2">
      <c r="A17" s="110">
        <v>3</v>
      </c>
      <c r="B17" s="106" t="s">
        <v>60</v>
      </c>
      <c r="C17" s="111" t="s">
        <v>673</v>
      </c>
      <c r="D17" s="106" t="s">
        <v>62</v>
      </c>
      <c r="E17" s="112">
        <v>160</v>
      </c>
      <c r="F17" s="120"/>
      <c r="G17" s="121"/>
      <c r="H17" s="122">
        <f t="shared" si="6"/>
        <v>0</v>
      </c>
      <c r="I17" s="121"/>
      <c r="J17" s="121"/>
      <c r="K17" s="121">
        <f t="shared" si="0"/>
        <v>0</v>
      </c>
      <c r="L17" s="121">
        <f t="shared" si="1"/>
        <v>0</v>
      </c>
      <c r="M17" s="121">
        <f t="shared" si="2"/>
        <v>0</v>
      </c>
      <c r="N17" s="121">
        <f t="shared" si="3"/>
        <v>0</v>
      </c>
      <c r="O17" s="121">
        <f t="shared" si="4"/>
        <v>0</v>
      </c>
      <c r="P17" s="123">
        <f t="shared" si="5"/>
        <v>0</v>
      </c>
    </row>
    <row r="18" spans="1:16" ht="13.2" x14ac:dyDescent="0.2">
      <c r="A18" s="110">
        <v>4</v>
      </c>
      <c r="B18" s="106" t="s">
        <v>60</v>
      </c>
      <c r="C18" s="111" t="s">
        <v>674</v>
      </c>
      <c r="D18" s="106" t="s">
        <v>64</v>
      </c>
      <c r="E18" s="112">
        <v>360</v>
      </c>
      <c r="F18" s="120"/>
      <c r="G18" s="121"/>
      <c r="H18" s="122">
        <f t="shared" si="6"/>
        <v>0</v>
      </c>
      <c r="I18" s="121"/>
      <c r="J18" s="121"/>
      <c r="K18" s="121">
        <f t="shared" si="0"/>
        <v>0</v>
      </c>
      <c r="L18" s="121">
        <f t="shared" si="1"/>
        <v>0</v>
      </c>
      <c r="M18" s="121">
        <f t="shared" si="2"/>
        <v>0</v>
      </c>
      <c r="N18" s="121">
        <f t="shared" si="3"/>
        <v>0</v>
      </c>
      <c r="O18" s="121">
        <f t="shared" si="4"/>
        <v>0</v>
      </c>
      <c r="P18" s="123">
        <f t="shared" si="5"/>
        <v>0</v>
      </c>
    </row>
    <row r="19" spans="1:16" ht="13.2" x14ac:dyDescent="0.2">
      <c r="A19" s="110">
        <v>5</v>
      </c>
      <c r="B19" s="106" t="s">
        <v>60</v>
      </c>
      <c r="C19" s="111" t="s">
        <v>675</v>
      </c>
      <c r="D19" s="106" t="s">
        <v>64</v>
      </c>
      <c r="E19" s="112">
        <v>4</v>
      </c>
      <c r="F19" s="120"/>
      <c r="G19" s="121"/>
      <c r="H19" s="122">
        <f t="shared" si="6"/>
        <v>0</v>
      </c>
      <c r="I19" s="121"/>
      <c r="J19" s="121"/>
      <c r="K19" s="121"/>
      <c r="L19" s="121">
        <f t="shared" si="1"/>
        <v>0</v>
      </c>
      <c r="M19" s="121">
        <f t="shared" si="2"/>
        <v>0</v>
      </c>
      <c r="N19" s="121">
        <f t="shared" si="3"/>
        <v>0</v>
      </c>
      <c r="O19" s="121">
        <f>ROUND(E19*J19,2)</f>
        <v>0</v>
      </c>
      <c r="P19" s="123">
        <f t="shared" si="5"/>
        <v>0</v>
      </c>
    </row>
    <row r="20" spans="1:16" ht="13.2" x14ac:dyDescent="0.2">
      <c r="A20" s="110">
        <v>6</v>
      </c>
      <c r="B20" s="106" t="s">
        <v>60</v>
      </c>
      <c r="C20" s="111" t="s">
        <v>676</v>
      </c>
      <c r="D20" s="106" t="s">
        <v>64</v>
      </c>
      <c r="E20" s="112">
        <v>9</v>
      </c>
      <c r="F20" s="120"/>
      <c r="G20" s="121"/>
      <c r="H20" s="122">
        <f t="shared" si="6"/>
        <v>0</v>
      </c>
      <c r="I20" s="121"/>
      <c r="J20" s="121"/>
      <c r="K20" s="121">
        <f t="shared" si="0"/>
        <v>0</v>
      </c>
      <c r="L20" s="121">
        <f t="shared" si="1"/>
        <v>0</v>
      </c>
      <c r="M20" s="121">
        <f t="shared" si="2"/>
        <v>0</v>
      </c>
      <c r="N20" s="121">
        <f t="shared" si="3"/>
        <v>0</v>
      </c>
      <c r="O20" s="121">
        <f t="shared" si="4"/>
        <v>0</v>
      </c>
      <c r="P20" s="123">
        <f t="shared" si="5"/>
        <v>0</v>
      </c>
    </row>
    <row r="21" spans="1:16" ht="13.2" x14ac:dyDescent="0.2">
      <c r="A21" s="110">
        <v>7</v>
      </c>
      <c r="B21" s="106" t="s">
        <v>60</v>
      </c>
      <c r="C21" s="111" t="s">
        <v>677</v>
      </c>
      <c r="D21" s="106" t="s">
        <v>64</v>
      </c>
      <c r="E21" s="112">
        <v>4</v>
      </c>
      <c r="F21" s="120"/>
      <c r="G21" s="121"/>
      <c r="H21" s="122">
        <f>ROUND(F21*G21,2)</f>
        <v>0</v>
      </c>
      <c r="I21" s="121"/>
      <c r="J21" s="121"/>
      <c r="K21" s="121">
        <f t="shared" si="0"/>
        <v>0</v>
      </c>
      <c r="L21" s="121">
        <f t="shared" si="1"/>
        <v>0</v>
      </c>
      <c r="M21" s="121">
        <f t="shared" si="2"/>
        <v>0</v>
      </c>
      <c r="N21" s="121">
        <f t="shared" si="3"/>
        <v>0</v>
      </c>
      <c r="O21" s="121">
        <f t="shared" si="4"/>
        <v>0</v>
      </c>
      <c r="P21" s="123">
        <f t="shared" si="5"/>
        <v>0</v>
      </c>
    </row>
    <row r="22" spans="1:16" ht="13.2" x14ac:dyDescent="0.2">
      <c r="A22" s="110">
        <v>8</v>
      </c>
      <c r="B22" s="106" t="s">
        <v>60</v>
      </c>
      <c r="C22" s="111" t="s">
        <v>678</v>
      </c>
      <c r="D22" s="106" t="s">
        <v>62</v>
      </c>
      <c r="E22" s="112">
        <v>65</v>
      </c>
      <c r="F22" s="120"/>
      <c r="G22" s="121"/>
      <c r="H22" s="122">
        <f t="shared" ref="H22" si="7">ROUND(F22*G22,2)</f>
        <v>0</v>
      </c>
      <c r="I22" s="121"/>
      <c r="J22" s="121"/>
      <c r="K22" s="121">
        <f t="shared" si="0"/>
        <v>0</v>
      </c>
      <c r="L22" s="121">
        <f t="shared" si="1"/>
        <v>0</v>
      </c>
      <c r="M22" s="121">
        <f t="shared" si="2"/>
        <v>0</v>
      </c>
      <c r="N22" s="121">
        <f t="shared" si="3"/>
        <v>0</v>
      </c>
      <c r="O22" s="121">
        <f t="shared" si="4"/>
        <v>0</v>
      </c>
      <c r="P22" s="123">
        <f t="shared" si="5"/>
        <v>0</v>
      </c>
    </row>
    <row r="23" spans="1:16" ht="13.2" x14ac:dyDescent="0.2">
      <c r="A23" s="110">
        <v>9</v>
      </c>
      <c r="B23" s="106" t="s">
        <v>60</v>
      </c>
      <c r="C23" s="111" t="s">
        <v>679</v>
      </c>
      <c r="D23" s="106" t="s">
        <v>62</v>
      </c>
      <c r="E23" s="112">
        <v>65</v>
      </c>
      <c r="F23" s="120"/>
      <c r="G23" s="121"/>
      <c r="H23" s="122">
        <f>ROUND(F23*G23,2)</f>
        <v>0</v>
      </c>
      <c r="I23" s="121"/>
      <c r="J23" s="121"/>
      <c r="K23" s="121">
        <f t="shared" si="0"/>
        <v>0</v>
      </c>
      <c r="L23" s="121">
        <f t="shared" si="1"/>
        <v>0</v>
      </c>
      <c r="M23" s="121">
        <f t="shared" si="2"/>
        <v>0</v>
      </c>
      <c r="N23" s="121">
        <f t="shared" si="3"/>
        <v>0</v>
      </c>
      <c r="O23" s="121">
        <f t="shared" si="4"/>
        <v>0</v>
      </c>
      <c r="P23" s="123">
        <f t="shared" si="5"/>
        <v>0</v>
      </c>
    </row>
    <row r="24" spans="1:16" ht="13.2" x14ac:dyDescent="0.2">
      <c r="A24" s="110">
        <v>10</v>
      </c>
      <c r="B24" s="106" t="s">
        <v>60</v>
      </c>
      <c r="C24" s="111" t="s">
        <v>680</v>
      </c>
      <c r="D24" s="106" t="s">
        <v>68</v>
      </c>
      <c r="E24" s="112">
        <v>1</v>
      </c>
      <c r="F24" s="120"/>
      <c r="G24" s="121"/>
      <c r="H24" s="122">
        <f t="shared" ref="H24" si="8">ROUND(F24*G24,2)</f>
        <v>0</v>
      </c>
      <c r="I24" s="121"/>
      <c r="J24" s="121"/>
      <c r="K24" s="121">
        <f t="shared" si="0"/>
        <v>0</v>
      </c>
      <c r="L24" s="121">
        <f t="shared" si="1"/>
        <v>0</v>
      </c>
      <c r="M24" s="121">
        <f t="shared" si="2"/>
        <v>0</v>
      </c>
      <c r="N24" s="121">
        <f t="shared" si="3"/>
        <v>0</v>
      </c>
      <c r="O24" s="121">
        <f t="shared" si="4"/>
        <v>0</v>
      </c>
      <c r="P24" s="123">
        <f t="shared" si="5"/>
        <v>0</v>
      </c>
    </row>
    <row r="25" spans="1:16" ht="13.2" x14ac:dyDescent="0.2">
      <c r="A25" s="110">
        <v>11</v>
      </c>
      <c r="B25" s="106" t="s">
        <v>60</v>
      </c>
      <c r="C25" s="111" t="s">
        <v>681</v>
      </c>
      <c r="D25" s="106" t="s">
        <v>64</v>
      </c>
      <c r="E25" s="112">
        <v>1</v>
      </c>
      <c r="F25" s="120"/>
      <c r="G25" s="121"/>
      <c r="H25" s="122">
        <f>ROUND(F25*G25,2)</f>
        <v>0</v>
      </c>
      <c r="I25" s="121"/>
      <c r="J25" s="121"/>
      <c r="K25" s="121">
        <f t="shared" si="0"/>
        <v>0</v>
      </c>
      <c r="L25" s="121">
        <f t="shared" si="1"/>
        <v>0</v>
      </c>
      <c r="M25" s="121">
        <f t="shared" si="2"/>
        <v>0</v>
      </c>
      <c r="N25" s="121">
        <f t="shared" si="3"/>
        <v>0</v>
      </c>
      <c r="O25" s="121">
        <f t="shared" si="4"/>
        <v>0</v>
      </c>
      <c r="P25" s="123">
        <f t="shared" si="5"/>
        <v>0</v>
      </c>
    </row>
    <row r="26" spans="1:16" ht="13.2" x14ac:dyDescent="0.2">
      <c r="A26" s="110">
        <v>12</v>
      </c>
      <c r="B26" s="106" t="s">
        <v>60</v>
      </c>
      <c r="C26" s="111" t="s">
        <v>151</v>
      </c>
      <c r="D26" s="106" t="s">
        <v>68</v>
      </c>
      <c r="E26" s="112">
        <v>1</v>
      </c>
      <c r="F26" s="120"/>
      <c r="G26" s="121"/>
      <c r="H26" s="122">
        <f t="shared" ref="H26" si="9">ROUND(F26*G26,2)</f>
        <v>0</v>
      </c>
      <c r="I26" s="121"/>
      <c r="J26" s="121"/>
      <c r="K26" s="121">
        <f t="shared" si="0"/>
        <v>0</v>
      </c>
      <c r="L26" s="121">
        <f t="shared" si="1"/>
        <v>0</v>
      </c>
      <c r="M26" s="121">
        <f t="shared" si="2"/>
        <v>0</v>
      </c>
      <c r="N26" s="121">
        <f t="shared" si="3"/>
        <v>0</v>
      </c>
      <c r="O26" s="121">
        <f t="shared" si="4"/>
        <v>0</v>
      </c>
      <c r="P26" s="123">
        <f t="shared" si="5"/>
        <v>0</v>
      </c>
    </row>
    <row r="27" spans="1:16" ht="13.2" x14ac:dyDescent="0.2">
      <c r="A27" s="163"/>
      <c r="B27" s="164"/>
      <c r="C27" s="165" t="s">
        <v>152</v>
      </c>
      <c r="D27" s="166"/>
      <c r="E27" s="167"/>
      <c r="F27" s="168"/>
      <c r="G27" s="169"/>
      <c r="H27" s="169"/>
      <c r="I27" s="169"/>
      <c r="J27" s="169"/>
      <c r="K27" s="172"/>
      <c r="L27" s="172"/>
      <c r="M27" s="172"/>
      <c r="N27" s="172"/>
      <c r="O27" s="172"/>
      <c r="P27" s="173"/>
    </row>
    <row r="28" spans="1:16" ht="13.2" x14ac:dyDescent="0.2">
      <c r="A28" s="110">
        <v>1</v>
      </c>
      <c r="B28" s="106"/>
      <c r="C28" s="111" t="s">
        <v>690</v>
      </c>
      <c r="D28" s="106" t="s">
        <v>68</v>
      </c>
      <c r="E28" s="112">
        <v>1</v>
      </c>
      <c r="F28" s="120"/>
      <c r="G28" s="121"/>
      <c r="H28" s="122"/>
      <c r="I28" s="121"/>
      <c r="J28" s="121"/>
      <c r="K28" s="121">
        <f t="shared" ref="K28:K31" si="10">ROUND(H28+J28+I28,2)</f>
        <v>0</v>
      </c>
      <c r="L28" s="121">
        <f t="shared" ref="L28:L39" si="11">ROUND(E28*F28,2)</f>
        <v>0</v>
      </c>
      <c r="M28" s="121">
        <f t="shared" ref="M28:M39" si="12">ROUND(E28*H28,2)</f>
        <v>0</v>
      </c>
      <c r="N28" s="121">
        <f t="shared" ref="N28:N39" si="13">ROUND(E28*I28,2)</f>
        <v>0</v>
      </c>
      <c r="O28" s="121">
        <f t="shared" ref="O28:O31" si="14">ROUND(E28*J28,2)</f>
        <v>0</v>
      </c>
      <c r="P28" s="123">
        <f t="shared" ref="P28:P39" si="15">ROUND(O28+N28+M28,2)</f>
        <v>0</v>
      </c>
    </row>
    <row r="29" spans="1:16" ht="13.2" x14ac:dyDescent="0.2">
      <c r="A29" s="110">
        <v>2</v>
      </c>
      <c r="B29" s="106"/>
      <c r="C29" s="111" t="s">
        <v>682</v>
      </c>
      <c r="D29" s="106" t="s">
        <v>62</v>
      </c>
      <c r="E29" s="112">
        <v>150</v>
      </c>
      <c r="F29" s="120"/>
      <c r="G29" s="121"/>
      <c r="H29" s="122"/>
      <c r="I29" s="121"/>
      <c r="J29" s="121"/>
      <c r="K29" s="121">
        <f t="shared" si="10"/>
        <v>0</v>
      </c>
      <c r="L29" s="121">
        <f t="shared" si="11"/>
        <v>0</v>
      </c>
      <c r="M29" s="121">
        <f t="shared" si="12"/>
        <v>0</v>
      </c>
      <c r="N29" s="121">
        <f t="shared" si="13"/>
        <v>0</v>
      </c>
      <c r="O29" s="121">
        <f t="shared" si="14"/>
        <v>0</v>
      </c>
      <c r="P29" s="123">
        <f t="shared" si="15"/>
        <v>0</v>
      </c>
    </row>
    <row r="30" spans="1:16" ht="26.4" x14ac:dyDescent="0.2">
      <c r="A30" s="110">
        <v>3</v>
      </c>
      <c r="B30" s="106"/>
      <c r="C30" s="111" t="s">
        <v>683</v>
      </c>
      <c r="D30" s="106" t="s">
        <v>62</v>
      </c>
      <c r="E30" s="112">
        <v>160</v>
      </c>
      <c r="F30" s="120"/>
      <c r="G30" s="121"/>
      <c r="H30" s="122"/>
      <c r="I30" s="121"/>
      <c r="J30" s="121"/>
      <c r="K30" s="121">
        <f t="shared" si="10"/>
        <v>0</v>
      </c>
      <c r="L30" s="121">
        <f t="shared" si="11"/>
        <v>0</v>
      </c>
      <c r="M30" s="121">
        <f t="shared" si="12"/>
        <v>0</v>
      </c>
      <c r="N30" s="121">
        <f t="shared" si="13"/>
        <v>0</v>
      </c>
      <c r="O30" s="121">
        <f t="shared" si="14"/>
        <v>0</v>
      </c>
      <c r="P30" s="123">
        <f t="shared" si="15"/>
        <v>0</v>
      </c>
    </row>
    <row r="31" spans="1:16" ht="13.2" x14ac:dyDescent="0.2">
      <c r="A31" s="110">
        <v>4</v>
      </c>
      <c r="B31" s="106"/>
      <c r="C31" s="111" t="s">
        <v>153</v>
      </c>
      <c r="D31" s="106" t="s">
        <v>64</v>
      </c>
      <c r="E31" s="112">
        <v>360</v>
      </c>
      <c r="F31" s="120"/>
      <c r="G31" s="121"/>
      <c r="H31" s="122"/>
      <c r="I31" s="121"/>
      <c r="J31" s="121"/>
      <c r="K31" s="121">
        <f t="shared" si="10"/>
        <v>0</v>
      </c>
      <c r="L31" s="121">
        <f t="shared" si="11"/>
        <v>0</v>
      </c>
      <c r="M31" s="121">
        <f t="shared" si="12"/>
        <v>0</v>
      </c>
      <c r="N31" s="121">
        <f t="shared" si="13"/>
        <v>0</v>
      </c>
      <c r="O31" s="121">
        <f t="shared" si="14"/>
        <v>0</v>
      </c>
      <c r="P31" s="123">
        <f t="shared" si="15"/>
        <v>0</v>
      </c>
    </row>
    <row r="32" spans="1:16" ht="13.2" x14ac:dyDescent="0.2">
      <c r="A32" s="110">
        <v>5</v>
      </c>
      <c r="B32" s="106"/>
      <c r="C32" s="111" t="s">
        <v>684</v>
      </c>
      <c r="D32" s="106" t="s">
        <v>64</v>
      </c>
      <c r="E32" s="112">
        <v>4</v>
      </c>
      <c r="F32" s="120"/>
      <c r="G32" s="121"/>
      <c r="H32" s="122"/>
      <c r="I32" s="121"/>
      <c r="J32" s="121"/>
      <c r="K32" s="121"/>
      <c r="L32" s="121">
        <f>ROUND(E32*F32,2)</f>
        <v>0</v>
      </c>
      <c r="M32" s="121">
        <f>ROUND(E32*H32,2)</f>
        <v>0</v>
      </c>
      <c r="N32" s="121">
        <f>ROUND(E32*I32,2)</f>
        <v>0</v>
      </c>
      <c r="O32" s="121">
        <f>ROUND(E32*J32,2)</f>
        <v>0</v>
      </c>
      <c r="P32" s="123">
        <f>ROUND(O32+N32+M32,2)</f>
        <v>0</v>
      </c>
    </row>
    <row r="33" spans="1:16" ht="13.2" x14ac:dyDescent="0.2">
      <c r="A33" s="110">
        <v>6</v>
      </c>
      <c r="B33" s="106"/>
      <c r="C33" s="111" t="s">
        <v>685</v>
      </c>
      <c r="D33" s="106" t="s">
        <v>64</v>
      </c>
      <c r="E33" s="112">
        <v>9</v>
      </c>
      <c r="F33" s="120"/>
      <c r="G33" s="121"/>
      <c r="H33" s="122"/>
      <c r="I33" s="121"/>
      <c r="J33" s="121"/>
      <c r="K33" s="121"/>
      <c r="L33" s="121">
        <f>ROUND(E33*F33,2)</f>
        <v>0</v>
      </c>
      <c r="M33" s="121">
        <f>ROUND(E33*H33,2)</f>
        <v>0</v>
      </c>
      <c r="N33" s="121">
        <f>ROUND(E33*I33,2)</f>
        <v>0</v>
      </c>
      <c r="O33" s="121">
        <f>ROUND(E33*J33,2)</f>
        <v>0</v>
      </c>
      <c r="P33" s="123">
        <f>ROUND(O33+N33+M33,2)</f>
        <v>0</v>
      </c>
    </row>
    <row r="34" spans="1:16" ht="13.2" x14ac:dyDescent="0.2">
      <c r="A34" s="110">
        <v>7</v>
      </c>
      <c r="B34" s="106"/>
      <c r="C34" s="111" t="s">
        <v>154</v>
      </c>
      <c r="D34" s="106" t="s">
        <v>64</v>
      </c>
      <c r="E34" s="112">
        <v>4</v>
      </c>
      <c r="F34" s="120"/>
      <c r="G34" s="121"/>
      <c r="H34" s="122"/>
      <c r="I34" s="121"/>
      <c r="J34" s="121"/>
      <c r="K34" s="121">
        <f t="shared" ref="K34:K39" si="16">ROUND(H34+J34+I34,2)</f>
        <v>0</v>
      </c>
      <c r="L34" s="121">
        <f t="shared" si="11"/>
        <v>0</v>
      </c>
      <c r="M34" s="121">
        <f t="shared" si="12"/>
        <v>0</v>
      </c>
      <c r="N34" s="121">
        <f t="shared" si="13"/>
        <v>0</v>
      </c>
      <c r="O34" s="121">
        <f t="shared" ref="O34:O39" si="17">ROUND(E34*J34,2)</f>
        <v>0</v>
      </c>
      <c r="P34" s="123">
        <f t="shared" si="15"/>
        <v>0</v>
      </c>
    </row>
    <row r="35" spans="1:16" ht="26.4" x14ac:dyDescent="0.2">
      <c r="A35" s="110">
        <v>8</v>
      </c>
      <c r="B35" s="106"/>
      <c r="C35" s="111" t="s">
        <v>686</v>
      </c>
      <c r="D35" s="106" t="s">
        <v>62</v>
      </c>
      <c r="E35" s="112">
        <v>65</v>
      </c>
      <c r="F35" s="120"/>
      <c r="G35" s="121"/>
      <c r="H35" s="122"/>
      <c r="I35" s="121"/>
      <c r="J35" s="121"/>
      <c r="K35" s="121">
        <f t="shared" si="16"/>
        <v>0</v>
      </c>
      <c r="L35" s="121">
        <f t="shared" si="11"/>
        <v>0</v>
      </c>
      <c r="M35" s="121">
        <f t="shared" si="12"/>
        <v>0</v>
      </c>
      <c r="N35" s="121">
        <f t="shared" si="13"/>
        <v>0</v>
      </c>
      <c r="O35" s="121">
        <f t="shared" si="17"/>
        <v>0</v>
      </c>
      <c r="P35" s="123">
        <f t="shared" si="15"/>
        <v>0</v>
      </c>
    </row>
    <row r="36" spans="1:16" ht="26.4" x14ac:dyDescent="0.2">
      <c r="A36" s="110">
        <v>9</v>
      </c>
      <c r="B36" s="106"/>
      <c r="C36" s="111" t="s">
        <v>687</v>
      </c>
      <c r="D36" s="106" t="s">
        <v>62</v>
      </c>
      <c r="E36" s="112">
        <v>65</v>
      </c>
      <c r="F36" s="120"/>
      <c r="G36" s="121"/>
      <c r="H36" s="122"/>
      <c r="I36" s="121"/>
      <c r="J36" s="121"/>
      <c r="K36" s="121">
        <f t="shared" si="16"/>
        <v>0</v>
      </c>
      <c r="L36" s="121">
        <f t="shared" si="11"/>
        <v>0</v>
      </c>
      <c r="M36" s="121">
        <f t="shared" si="12"/>
        <v>0</v>
      </c>
      <c r="N36" s="121">
        <f t="shared" si="13"/>
        <v>0</v>
      </c>
      <c r="O36" s="121">
        <f t="shared" si="17"/>
        <v>0</v>
      </c>
      <c r="P36" s="123">
        <f t="shared" si="15"/>
        <v>0</v>
      </c>
    </row>
    <row r="37" spans="1:16" ht="13.2" x14ac:dyDescent="0.2">
      <c r="A37" s="110">
        <v>10</v>
      </c>
      <c r="B37" s="106"/>
      <c r="C37" s="111" t="s">
        <v>688</v>
      </c>
      <c r="D37" s="106" t="s">
        <v>68</v>
      </c>
      <c r="E37" s="112">
        <v>1</v>
      </c>
      <c r="F37" s="120"/>
      <c r="G37" s="121"/>
      <c r="H37" s="122"/>
      <c r="I37" s="121"/>
      <c r="J37" s="121"/>
      <c r="K37" s="121">
        <f t="shared" si="16"/>
        <v>0</v>
      </c>
      <c r="L37" s="121">
        <f t="shared" si="11"/>
        <v>0</v>
      </c>
      <c r="M37" s="121">
        <f t="shared" si="12"/>
        <v>0</v>
      </c>
      <c r="N37" s="121">
        <f t="shared" si="13"/>
        <v>0</v>
      </c>
      <c r="O37" s="121">
        <f t="shared" si="17"/>
        <v>0</v>
      </c>
      <c r="P37" s="123">
        <f t="shared" si="15"/>
        <v>0</v>
      </c>
    </row>
    <row r="38" spans="1:16" ht="13.2" x14ac:dyDescent="0.2">
      <c r="A38" s="110">
        <v>11</v>
      </c>
      <c r="B38" s="106"/>
      <c r="C38" s="111" t="s">
        <v>689</v>
      </c>
      <c r="D38" s="106" t="s">
        <v>64</v>
      </c>
      <c r="E38" s="112">
        <v>1</v>
      </c>
      <c r="F38" s="120"/>
      <c r="G38" s="121"/>
      <c r="H38" s="122"/>
      <c r="I38" s="121"/>
      <c r="J38" s="121"/>
      <c r="K38" s="121">
        <f t="shared" si="16"/>
        <v>0</v>
      </c>
      <c r="L38" s="121">
        <f t="shared" si="11"/>
        <v>0</v>
      </c>
      <c r="M38" s="121">
        <f t="shared" si="12"/>
        <v>0</v>
      </c>
      <c r="N38" s="121">
        <f t="shared" si="13"/>
        <v>0</v>
      </c>
      <c r="O38" s="121">
        <f t="shared" si="17"/>
        <v>0</v>
      </c>
      <c r="P38" s="123">
        <f t="shared" si="15"/>
        <v>0</v>
      </c>
    </row>
    <row r="39" spans="1:16" ht="13.8" thickBot="1" x14ac:dyDescent="0.25">
      <c r="A39" s="110">
        <v>12</v>
      </c>
      <c r="B39" s="106"/>
      <c r="C39" s="111" t="s">
        <v>155</v>
      </c>
      <c r="D39" s="106" t="s">
        <v>68</v>
      </c>
      <c r="E39" s="112">
        <v>1</v>
      </c>
      <c r="F39" s="120"/>
      <c r="G39" s="121"/>
      <c r="H39" s="122"/>
      <c r="I39" s="121"/>
      <c r="J39" s="121"/>
      <c r="K39" s="121">
        <f t="shared" si="16"/>
        <v>0</v>
      </c>
      <c r="L39" s="121">
        <f t="shared" si="11"/>
        <v>0</v>
      </c>
      <c r="M39" s="121">
        <f t="shared" si="12"/>
        <v>0</v>
      </c>
      <c r="N39" s="121">
        <f t="shared" si="13"/>
        <v>0</v>
      </c>
      <c r="O39" s="121">
        <f t="shared" si="17"/>
        <v>0</v>
      </c>
      <c r="P39" s="123">
        <f t="shared" si="15"/>
        <v>0</v>
      </c>
    </row>
    <row r="40" spans="1:16" ht="12" customHeight="1" thickBot="1" x14ac:dyDescent="0.25">
      <c r="A40" s="300" t="s">
        <v>700</v>
      </c>
      <c r="B40" s="301"/>
      <c r="C40" s="301"/>
      <c r="D40" s="301"/>
      <c r="E40" s="301"/>
      <c r="F40" s="301"/>
      <c r="G40" s="301"/>
      <c r="H40" s="301"/>
      <c r="I40" s="301"/>
      <c r="J40" s="301"/>
      <c r="K40" s="302"/>
      <c r="L40" s="69">
        <f>SUM(L14:L39)</f>
        <v>0</v>
      </c>
      <c r="M40" s="70">
        <f>SUM(M14:M39)</f>
        <v>0</v>
      </c>
      <c r="N40" s="70">
        <f>SUM(N14:N39)</f>
        <v>0</v>
      </c>
      <c r="O40" s="70">
        <f>SUM(O14:O39)</f>
        <v>0</v>
      </c>
      <c r="P40" s="71">
        <f>SUM(P14:P39)</f>
        <v>0</v>
      </c>
    </row>
    <row r="41" spans="1:16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2">
      <c r="A43" s="1" t="s">
        <v>14</v>
      </c>
      <c r="B43" s="17"/>
      <c r="C43" s="284">
        <f>'Kops a'!C37:H37</f>
        <v>0</v>
      </c>
      <c r="D43" s="284"/>
      <c r="E43" s="284"/>
      <c r="F43" s="284"/>
      <c r="G43" s="284"/>
      <c r="H43" s="284"/>
      <c r="I43" s="17"/>
      <c r="J43" s="17"/>
      <c r="K43" s="17"/>
      <c r="L43" s="17"/>
      <c r="M43" s="17"/>
      <c r="N43" s="17"/>
      <c r="O43" s="17"/>
      <c r="P43" s="17"/>
    </row>
    <row r="44" spans="1:16" x14ac:dyDescent="0.2">
      <c r="A44" s="17"/>
      <c r="B44" s="17"/>
      <c r="C44" s="219" t="s">
        <v>15</v>
      </c>
      <c r="D44" s="219"/>
      <c r="E44" s="219"/>
      <c r="F44" s="219"/>
      <c r="G44" s="219"/>
      <c r="H44" s="219"/>
      <c r="I44" s="17"/>
      <c r="J44" s="17"/>
      <c r="K44" s="17"/>
      <c r="L44" s="17"/>
      <c r="M44" s="17"/>
      <c r="N44" s="17"/>
      <c r="O44" s="17"/>
      <c r="P44" s="17"/>
    </row>
    <row r="45" spans="1:16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2">
      <c r="A46" s="88" t="str">
        <f>'Kops a'!A40</f>
        <v xml:space="preserve">Tāme sastādīta </v>
      </c>
      <c r="B46" s="89"/>
      <c r="C46" s="89"/>
      <c r="D46" s="89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x14ac:dyDescent="0.2">
      <c r="A48" s="1" t="s">
        <v>37</v>
      </c>
      <c r="B48" s="17"/>
      <c r="C48" s="284">
        <f>'Kops a'!C42:H42</f>
        <v>0</v>
      </c>
      <c r="D48" s="284"/>
      <c r="E48" s="284"/>
      <c r="F48" s="284"/>
      <c r="G48" s="284"/>
      <c r="H48" s="284"/>
      <c r="I48" s="17"/>
      <c r="J48" s="17"/>
      <c r="K48" s="17"/>
      <c r="L48" s="17"/>
      <c r="M48" s="17"/>
      <c r="N48" s="17"/>
      <c r="O48" s="17"/>
      <c r="P48" s="17"/>
    </row>
    <row r="49" spans="1:16" x14ac:dyDescent="0.2">
      <c r="A49" s="17"/>
      <c r="B49" s="17"/>
      <c r="C49" s="219" t="s">
        <v>15</v>
      </c>
      <c r="D49" s="219"/>
      <c r="E49" s="219"/>
      <c r="F49" s="219"/>
      <c r="G49" s="219"/>
      <c r="H49" s="219"/>
      <c r="I49" s="17"/>
      <c r="J49" s="17"/>
      <c r="K49" s="17"/>
      <c r="L49" s="17"/>
      <c r="M49" s="17"/>
      <c r="N49" s="17"/>
      <c r="O49" s="17"/>
      <c r="P49" s="17"/>
    </row>
    <row r="50" spans="1:16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x14ac:dyDescent="0.2">
      <c r="A51" s="88" t="s">
        <v>54</v>
      </c>
      <c r="B51" s="89"/>
      <c r="C51" s="93">
        <f>'Kops a'!C45</f>
        <v>0</v>
      </c>
      <c r="D51" s="50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</sheetData>
  <mergeCells count="22">
    <mergeCell ref="C49:H49"/>
    <mergeCell ref="C4:I4"/>
    <mergeCell ref="F12:K12"/>
    <mergeCell ref="J9:M9"/>
    <mergeCell ref="D8:L8"/>
    <mergeCell ref="A40:K40"/>
    <mergeCell ref="C43:H43"/>
    <mergeCell ref="C44:H44"/>
    <mergeCell ref="C48:H48"/>
    <mergeCell ref="A9:F9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I15:J39 A15:G39">
    <cfRule type="cellIs" dxfId="18" priority="26" operator="equal">
      <formula>0</formula>
    </cfRule>
  </conditionalFormatting>
  <conditionalFormatting sqref="N9:O9 H14:H39 K14:P39">
    <cfRule type="cellIs" dxfId="17" priority="25" operator="equal">
      <formula>0</formula>
    </cfRule>
  </conditionalFormatting>
  <conditionalFormatting sqref="A9:F9">
    <cfRule type="containsText" dxfId="16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5" priority="22" operator="equal">
      <formula>0</formula>
    </cfRule>
  </conditionalFormatting>
  <conditionalFormatting sqref="O10">
    <cfRule type="cellIs" dxfId="14" priority="21" operator="equal">
      <formula>"20__. gada __. _________"</formula>
    </cfRule>
  </conditionalFormatting>
  <conditionalFormatting sqref="A40:K40">
    <cfRule type="containsText" dxfId="13" priority="20" operator="containsText" text="Tiešās izmaksas kopā, t. sk. darba devēja sociālais nodoklis __.__% ">
      <formula>NOT(ISERROR(SEARCH("Tiešās izmaksas kopā, t. sk. darba devēja sociālais nodoklis __.__% ",A40)))</formula>
    </cfRule>
  </conditionalFormatting>
  <conditionalFormatting sqref="L40:P40">
    <cfRule type="cellIs" dxfId="12" priority="15" operator="equal">
      <formula>0</formula>
    </cfRule>
  </conditionalFormatting>
  <conditionalFormatting sqref="C4:I4">
    <cfRule type="cellIs" dxfId="11" priority="14" operator="equal">
      <formula>0</formula>
    </cfRule>
  </conditionalFormatting>
  <conditionalFormatting sqref="D5:L8">
    <cfRule type="cellIs" dxfId="10" priority="11" operator="equal">
      <formula>0</formula>
    </cfRule>
  </conditionalFormatting>
  <conditionalFormatting sqref="A14:B14 D14:G14">
    <cfRule type="cellIs" dxfId="9" priority="10" operator="equal">
      <formula>0</formula>
    </cfRule>
  </conditionalFormatting>
  <conditionalFormatting sqref="C14">
    <cfRule type="cellIs" dxfId="8" priority="9" operator="equal">
      <formula>0</formula>
    </cfRule>
  </conditionalFormatting>
  <conditionalFormatting sqref="I14:J14">
    <cfRule type="cellIs" dxfId="7" priority="8" operator="equal">
      <formula>0</formula>
    </cfRule>
  </conditionalFormatting>
  <conditionalFormatting sqref="P10">
    <cfRule type="cellIs" dxfId="6" priority="7" operator="equal">
      <formula>"20__. gada __. _________"</formula>
    </cfRule>
  </conditionalFormatting>
  <conditionalFormatting sqref="C48:H48">
    <cfRule type="cellIs" dxfId="5" priority="4" operator="equal">
      <formula>0</formula>
    </cfRule>
  </conditionalFormatting>
  <conditionalFormatting sqref="C43:H43">
    <cfRule type="cellIs" dxfId="4" priority="3" operator="equal">
      <formula>0</formula>
    </cfRule>
  </conditionalFormatting>
  <conditionalFormatting sqref="C48:H48 C51 C43:H43">
    <cfRule type="cellIs" dxfId="3" priority="2" operator="equal">
      <formula>0</formula>
    </cfRule>
  </conditionalFormatting>
  <conditionalFormatting sqref="D1">
    <cfRule type="cellIs" dxfId="2" priority="1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45D7A31B-95E8-45F0-9D12-B108FC33E7AF}">
            <xm:f>NOT(ISERROR(SEARCH("Tāme sastādīta ____. gada ___. ______________",A46)))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A46</xm:sqref>
        </x14:conditionalFormatting>
        <x14:conditionalFormatting xmlns:xm="http://schemas.microsoft.com/office/excel/2006/main">
          <x14:cfRule type="containsText" priority="5" operator="containsText" id="{50CFFC24-35AC-49A6-927D-52D883159D51}">
            <xm:f>NOT(ISERROR(SEARCH("Sertifikāta Nr. _________________________________",A51)))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55"/>
  <sheetViews>
    <sheetView workbookViewId="0">
      <selection activeCell="D31" sqref="D31"/>
    </sheetView>
  </sheetViews>
  <sheetFormatPr defaultColWidth="3.6640625" defaultRowHeight="10.199999999999999" x14ac:dyDescent="0.2"/>
  <cols>
    <col min="1" max="1" width="4" style="1" customWidth="1"/>
    <col min="2" max="2" width="5.33203125" style="1" customWidth="1"/>
    <col min="3" max="3" width="21.109375" style="1" customWidth="1"/>
    <col min="4" max="4" width="17.109375" style="1" customWidth="1"/>
    <col min="5" max="5" width="11.88671875" style="1" customWidth="1"/>
    <col min="6" max="6" width="9.88671875" style="1" customWidth="1"/>
    <col min="7" max="7" width="10" style="1" customWidth="1"/>
    <col min="8" max="8" width="8.6640625" style="1" customWidth="1"/>
    <col min="9" max="188" width="9.109375" style="1" customWidth="1"/>
    <col min="189" max="189" width="3.6640625" style="1"/>
    <col min="190" max="190" width="4.5546875" style="1" customWidth="1"/>
    <col min="191" max="191" width="5.88671875" style="1" customWidth="1"/>
    <col min="192" max="192" width="36" style="1" customWidth="1"/>
    <col min="193" max="193" width="9.6640625" style="1" customWidth="1"/>
    <col min="194" max="194" width="11.88671875" style="1" customWidth="1"/>
    <col min="195" max="195" width="9" style="1" customWidth="1"/>
    <col min="196" max="196" width="9.6640625" style="1" customWidth="1"/>
    <col min="197" max="197" width="9.33203125" style="1" customWidth="1"/>
    <col min="198" max="198" width="8.6640625" style="1" customWidth="1"/>
    <col min="199" max="199" width="6.88671875" style="1" customWidth="1"/>
    <col min="200" max="444" width="9.109375" style="1" customWidth="1"/>
    <col min="445" max="445" width="3.6640625" style="1"/>
    <col min="446" max="446" width="4.5546875" style="1" customWidth="1"/>
    <col min="447" max="447" width="5.88671875" style="1" customWidth="1"/>
    <col min="448" max="448" width="36" style="1" customWidth="1"/>
    <col min="449" max="449" width="9.6640625" style="1" customWidth="1"/>
    <col min="450" max="450" width="11.88671875" style="1" customWidth="1"/>
    <col min="451" max="451" width="9" style="1" customWidth="1"/>
    <col min="452" max="452" width="9.6640625" style="1" customWidth="1"/>
    <col min="453" max="453" width="9.33203125" style="1" customWidth="1"/>
    <col min="454" max="454" width="8.6640625" style="1" customWidth="1"/>
    <col min="455" max="455" width="6.88671875" style="1" customWidth="1"/>
    <col min="456" max="700" width="9.109375" style="1" customWidth="1"/>
    <col min="701" max="701" width="3.6640625" style="1"/>
    <col min="702" max="702" width="4.5546875" style="1" customWidth="1"/>
    <col min="703" max="703" width="5.88671875" style="1" customWidth="1"/>
    <col min="704" max="704" width="36" style="1" customWidth="1"/>
    <col min="705" max="705" width="9.6640625" style="1" customWidth="1"/>
    <col min="706" max="706" width="11.88671875" style="1" customWidth="1"/>
    <col min="707" max="707" width="9" style="1" customWidth="1"/>
    <col min="708" max="708" width="9.6640625" style="1" customWidth="1"/>
    <col min="709" max="709" width="9.33203125" style="1" customWidth="1"/>
    <col min="710" max="710" width="8.6640625" style="1" customWidth="1"/>
    <col min="711" max="711" width="6.88671875" style="1" customWidth="1"/>
    <col min="712" max="956" width="9.109375" style="1" customWidth="1"/>
    <col min="957" max="957" width="3.6640625" style="1"/>
    <col min="958" max="958" width="4.5546875" style="1" customWidth="1"/>
    <col min="959" max="959" width="5.88671875" style="1" customWidth="1"/>
    <col min="960" max="960" width="36" style="1" customWidth="1"/>
    <col min="961" max="961" width="9.6640625" style="1" customWidth="1"/>
    <col min="962" max="962" width="11.88671875" style="1" customWidth="1"/>
    <col min="963" max="963" width="9" style="1" customWidth="1"/>
    <col min="964" max="964" width="9.6640625" style="1" customWidth="1"/>
    <col min="965" max="965" width="9.33203125" style="1" customWidth="1"/>
    <col min="966" max="966" width="8.6640625" style="1" customWidth="1"/>
    <col min="967" max="967" width="6.88671875" style="1" customWidth="1"/>
    <col min="968" max="1212" width="9.109375" style="1" customWidth="1"/>
    <col min="1213" max="1213" width="3.6640625" style="1"/>
    <col min="1214" max="1214" width="4.5546875" style="1" customWidth="1"/>
    <col min="1215" max="1215" width="5.88671875" style="1" customWidth="1"/>
    <col min="1216" max="1216" width="36" style="1" customWidth="1"/>
    <col min="1217" max="1217" width="9.6640625" style="1" customWidth="1"/>
    <col min="1218" max="1218" width="11.88671875" style="1" customWidth="1"/>
    <col min="1219" max="1219" width="9" style="1" customWidth="1"/>
    <col min="1220" max="1220" width="9.6640625" style="1" customWidth="1"/>
    <col min="1221" max="1221" width="9.33203125" style="1" customWidth="1"/>
    <col min="1222" max="1222" width="8.6640625" style="1" customWidth="1"/>
    <col min="1223" max="1223" width="6.88671875" style="1" customWidth="1"/>
    <col min="1224" max="1468" width="9.109375" style="1" customWidth="1"/>
    <col min="1469" max="1469" width="3.6640625" style="1"/>
    <col min="1470" max="1470" width="4.5546875" style="1" customWidth="1"/>
    <col min="1471" max="1471" width="5.88671875" style="1" customWidth="1"/>
    <col min="1472" max="1472" width="36" style="1" customWidth="1"/>
    <col min="1473" max="1473" width="9.6640625" style="1" customWidth="1"/>
    <col min="1474" max="1474" width="11.88671875" style="1" customWidth="1"/>
    <col min="1475" max="1475" width="9" style="1" customWidth="1"/>
    <col min="1476" max="1476" width="9.6640625" style="1" customWidth="1"/>
    <col min="1477" max="1477" width="9.33203125" style="1" customWidth="1"/>
    <col min="1478" max="1478" width="8.6640625" style="1" customWidth="1"/>
    <col min="1479" max="1479" width="6.88671875" style="1" customWidth="1"/>
    <col min="1480" max="1724" width="9.109375" style="1" customWidth="1"/>
    <col min="1725" max="1725" width="3.6640625" style="1"/>
    <col min="1726" max="1726" width="4.5546875" style="1" customWidth="1"/>
    <col min="1727" max="1727" width="5.88671875" style="1" customWidth="1"/>
    <col min="1728" max="1728" width="36" style="1" customWidth="1"/>
    <col min="1729" max="1729" width="9.6640625" style="1" customWidth="1"/>
    <col min="1730" max="1730" width="11.88671875" style="1" customWidth="1"/>
    <col min="1731" max="1731" width="9" style="1" customWidth="1"/>
    <col min="1732" max="1732" width="9.6640625" style="1" customWidth="1"/>
    <col min="1733" max="1733" width="9.33203125" style="1" customWidth="1"/>
    <col min="1734" max="1734" width="8.6640625" style="1" customWidth="1"/>
    <col min="1735" max="1735" width="6.88671875" style="1" customWidth="1"/>
    <col min="1736" max="1980" width="9.109375" style="1" customWidth="1"/>
    <col min="1981" max="1981" width="3.6640625" style="1"/>
    <col min="1982" max="1982" width="4.5546875" style="1" customWidth="1"/>
    <col min="1983" max="1983" width="5.88671875" style="1" customWidth="1"/>
    <col min="1984" max="1984" width="36" style="1" customWidth="1"/>
    <col min="1985" max="1985" width="9.6640625" style="1" customWidth="1"/>
    <col min="1986" max="1986" width="11.88671875" style="1" customWidth="1"/>
    <col min="1987" max="1987" width="9" style="1" customWidth="1"/>
    <col min="1988" max="1988" width="9.6640625" style="1" customWidth="1"/>
    <col min="1989" max="1989" width="9.33203125" style="1" customWidth="1"/>
    <col min="1990" max="1990" width="8.6640625" style="1" customWidth="1"/>
    <col min="1991" max="1991" width="6.88671875" style="1" customWidth="1"/>
    <col min="1992" max="2236" width="9.109375" style="1" customWidth="1"/>
    <col min="2237" max="2237" width="3.6640625" style="1"/>
    <col min="2238" max="2238" width="4.5546875" style="1" customWidth="1"/>
    <col min="2239" max="2239" width="5.88671875" style="1" customWidth="1"/>
    <col min="2240" max="2240" width="36" style="1" customWidth="1"/>
    <col min="2241" max="2241" width="9.6640625" style="1" customWidth="1"/>
    <col min="2242" max="2242" width="11.88671875" style="1" customWidth="1"/>
    <col min="2243" max="2243" width="9" style="1" customWidth="1"/>
    <col min="2244" max="2244" width="9.6640625" style="1" customWidth="1"/>
    <col min="2245" max="2245" width="9.33203125" style="1" customWidth="1"/>
    <col min="2246" max="2246" width="8.6640625" style="1" customWidth="1"/>
    <col min="2247" max="2247" width="6.88671875" style="1" customWidth="1"/>
    <col min="2248" max="2492" width="9.109375" style="1" customWidth="1"/>
    <col min="2493" max="2493" width="3.6640625" style="1"/>
    <col min="2494" max="2494" width="4.5546875" style="1" customWidth="1"/>
    <col min="2495" max="2495" width="5.88671875" style="1" customWidth="1"/>
    <col min="2496" max="2496" width="36" style="1" customWidth="1"/>
    <col min="2497" max="2497" width="9.6640625" style="1" customWidth="1"/>
    <col min="2498" max="2498" width="11.88671875" style="1" customWidth="1"/>
    <col min="2499" max="2499" width="9" style="1" customWidth="1"/>
    <col min="2500" max="2500" width="9.6640625" style="1" customWidth="1"/>
    <col min="2501" max="2501" width="9.33203125" style="1" customWidth="1"/>
    <col min="2502" max="2502" width="8.6640625" style="1" customWidth="1"/>
    <col min="2503" max="2503" width="6.88671875" style="1" customWidth="1"/>
    <col min="2504" max="2748" width="9.109375" style="1" customWidth="1"/>
    <col min="2749" max="2749" width="3.6640625" style="1"/>
    <col min="2750" max="2750" width="4.5546875" style="1" customWidth="1"/>
    <col min="2751" max="2751" width="5.88671875" style="1" customWidth="1"/>
    <col min="2752" max="2752" width="36" style="1" customWidth="1"/>
    <col min="2753" max="2753" width="9.6640625" style="1" customWidth="1"/>
    <col min="2754" max="2754" width="11.88671875" style="1" customWidth="1"/>
    <col min="2755" max="2755" width="9" style="1" customWidth="1"/>
    <col min="2756" max="2756" width="9.6640625" style="1" customWidth="1"/>
    <col min="2757" max="2757" width="9.33203125" style="1" customWidth="1"/>
    <col min="2758" max="2758" width="8.6640625" style="1" customWidth="1"/>
    <col min="2759" max="2759" width="6.88671875" style="1" customWidth="1"/>
    <col min="2760" max="3004" width="9.109375" style="1" customWidth="1"/>
    <col min="3005" max="3005" width="3.6640625" style="1"/>
    <col min="3006" max="3006" width="4.5546875" style="1" customWidth="1"/>
    <col min="3007" max="3007" width="5.88671875" style="1" customWidth="1"/>
    <col min="3008" max="3008" width="36" style="1" customWidth="1"/>
    <col min="3009" max="3009" width="9.6640625" style="1" customWidth="1"/>
    <col min="3010" max="3010" width="11.88671875" style="1" customWidth="1"/>
    <col min="3011" max="3011" width="9" style="1" customWidth="1"/>
    <col min="3012" max="3012" width="9.6640625" style="1" customWidth="1"/>
    <col min="3013" max="3013" width="9.33203125" style="1" customWidth="1"/>
    <col min="3014" max="3014" width="8.6640625" style="1" customWidth="1"/>
    <col min="3015" max="3015" width="6.88671875" style="1" customWidth="1"/>
    <col min="3016" max="3260" width="9.109375" style="1" customWidth="1"/>
    <col min="3261" max="3261" width="3.6640625" style="1"/>
    <col min="3262" max="3262" width="4.5546875" style="1" customWidth="1"/>
    <col min="3263" max="3263" width="5.88671875" style="1" customWidth="1"/>
    <col min="3264" max="3264" width="36" style="1" customWidth="1"/>
    <col min="3265" max="3265" width="9.6640625" style="1" customWidth="1"/>
    <col min="3266" max="3266" width="11.88671875" style="1" customWidth="1"/>
    <col min="3267" max="3267" width="9" style="1" customWidth="1"/>
    <col min="3268" max="3268" width="9.6640625" style="1" customWidth="1"/>
    <col min="3269" max="3269" width="9.33203125" style="1" customWidth="1"/>
    <col min="3270" max="3270" width="8.6640625" style="1" customWidth="1"/>
    <col min="3271" max="3271" width="6.88671875" style="1" customWidth="1"/>
    <col min="3272" max="3516" width="9.109375" style="1" customWidth="1"/>
    <col min="3517" max="3517" width="3.6640625" style="1"/>
    <col min="3518" max="3518" width="4.5546875" style="1" customWidth="1"/>
    <col min="3519" max="3519" width="5.88671875" style="1" customWidth="1"/>
    <col min="3520" max="3520" width="36" style="1" customWidth="1"/>
    <col min="3521" max="3521" width="9.6640625" style="1" customWidth="1"/>
    <col min="3522" max="3522" width="11.88671875" style="1" customWidth="1"/>
    <col min="3523" max="3523" width="9" style="1" customWidth="1"/>
    <col min="3524" max="3524" width="9.6640625" style="1" customWidth="1"/>
    <col min="3525" max="3525" width="9.33203125" style="1" customWidth="1"/>
    <col min="3526" max="3526" width="8.6640625" style="1" customWidth="1"/>
    <col min="3527" max="3527" width="6.88671875" style="1" customWidth="1"/>
    <col min="3528" max="3772" width="9.109375" style="1" customWidth="1"/>
    <col min="3773" max="3773" width="3.6640625" style="1"/>
    <col min="3774" max="3774" width="4.5546875" style="1" customWidth="1"/>
    <col min="3775" max="3775" width="5.88671875" style="1" customWidth="1"/>
    <col min="3776" max="3776" width="36" style="1" customWidth="1"/>
    <col min="3777" max="3777" width="9.6640625" style="1" customWidth="1"/>
    <col min="3778" max="3778" width="11.88671875" style="1" customWidth="1"/>
    <col min="3779" max="3779" width="9" style="1" customWidth="1"/>
    <col min="3780" max="3780" width="9.6640625" style="1" customWidth="1"/>
    <col min="3781" max="3781" width="9.33203125" style="1" customWidth="1"/>
    <col min="3782" max="3782" width="8.6640625" style="1" customWidth="1"/>
    <col min="3783" max="3783" width="6.88671875" style="1" customWidth="1"/>
    <col min="3784" max="4028" width="9.109375" style="1" customWidth="1"/>
    <col min="4029" max="4029" width="3.6640625" style="1"/>
    <col min="4030" max="4030" width="4.5546875" style="1" customWidth="1"/>
    <col min="4031" max="4031" width="5.88671875" style="1" customWidth="1"/>
    <col min="4032" max="4032" width="36" style="1" customWidth="1"/>
    <col min="4033" max="4033" width="9.6640625" style="1" customWidth="1"/>
    <col min="4034" max="4034" width="11.88671875" style="1" customWidth="1"/>
    <col min="4035" max="4035" width="9" style="1" customWidth="1"/>
    <col min="4036" max="4036" width="9.6640625" style="1" customWidth="1"/>
    <col min="4037" max="4037" width="9.33203125" style="1" customWidth="1"/>
    <col min="4038" max="4038" width="8.6640625" style="1" customWidth="1"/>
    <col min="4039" max="4039" width="6.88671875" style="1" customWidth="1"/>
    <col min="4040" max="4284" width="9.109375" style="1" customWidth="1"/>
    <col min="4285" max="4285" width="3.6640625" style="1"/>
    <col min="4286" max="4286" width="4.5546875" style="1" customWidth="1"/>
    <col min="4287" max="4287" width="5.88671875" style="1" customWidth="1"/>
    <col min="4288" max="4288" width="36" style="1" customWidth="1"/>
    <col min="4289" max="4289" width="9.6640625" style="1" customWidth="1"/>
    <col min="4290" max="4290" width="11.88671875" style="1" customWidth="1"/>
    <col min="4291" max="4291" width="9" style="1" customWidth="1"/>
    <col min="4292" max="4292" width="9.6640625" style="1" customWidth="1"/>
    <col min="4293" max="4293" width="9.33203125" style="1" customWidth="1"/>
    <col min="4294" max="4294" width="8.6640625" style="1" customWidth="1"/>
    <col min="4295" max="4295" width="6.88671875" style="1" customWidth="1"/>
    <col min="4296" max="4540" width="9.109375" style="1" customWidth="1"/>
    <col min="4541" max="4541" width="3.6640625" style="1"/>
    <col min="4542" max="4542" width="4.5546875" style="1" customWidth="1"/>
    <col min="4543" max="4543" width="5.88671875" style="1" customWidth="1"/>
    <col min="4544" max="4544" width="36" style="1" customWidth="1"/>
    <col min="4545" max="4545" width="9.6640625" style="1" customWidth="1"/>
    <col min="4546" max="4546" width="11.88671875" style="1" customWidth="1"/>
    <col min="4547" max="4547" width="9" style="1" customWidth="1"/>
    <col min="4548" max="4548" width="9.6640625" style="1" customWidth="1"/>
    <col min="4549" max="4549" width="9.33203125" style="1" customWidth="1"/>
    <col min="4550" max="4550" width="8.6640625" style="1" customWidth="1"/>
    <col min="4551" max="4551" width="6.88671875" style="1" customWidth="1"/>
    <col min="4552" max="4796" width="9.109375" style="1" customWidth="1"/>
    <col min="4797" max="4797" width="3.6640625" style="1"/>
    <col min="4798" max="4798" width="4.5546875" style="1" customWidth="1"/>
    <col min="4799" max="4799" width="5.88671875" style="1" customWidth="1"/>
    <col min="4800" max="4800" width="36" style="1" customWidth="1"/>
    <col min="4801" max="4801" width="9.6640625" style="1" customWidth="1"/>
    <col min="4802" max="4802" width="11.88671875" style="1" customWidth="1"/>
    <col min="4803" max="4803" width="9" style="1" customWidth="1"/>
    <col min="4804" max="4804" width="9.6640625" style="1" customWidth="1"/>
    <col min="4805" max="4805" width="9.33203125" style="1" customWidth="1"/>
    <col min="4806" max="4806" width="8.6640625" style="1" customWidth="1"/>
    <col min="4807" max="4807" width="6.88671875" style="1" customWidth="1"/>
    <col min="4808" max="5052" width="9.109375" style="1" customWidth="1"/>
    <col min="5053" max="5053" width="3.6640625" style="1"/>
    <col min="5054" max="5054" width="4.5546875" style="1" customWidth="1"/>
    <col min="5055" max="5055" width="5.88671875" style="1" customWidth="1"/>
    <col min="5056" max="5056" width="36" style="1" customWidth="1"/>
    <col min="5057" max="5057" width="9.6640625" style="1" customWidth="1"/>
    <col min="5058" max="5058" width="11.88671875" style="1" customWidth="1"/>
    <col min="5059" max="5059" width="9" style="1" customWidth="1"/>
    <col min="5060" max="5060" width="9.6640625" style="1" customWidth="1"/>
    <col min="5061" max="5061" width="9.33203125" style="1" customWidth="1"/>
    <col min="5062" max="5062" width="8.6640625" style="1" customWidth="1"/>
    <col min="5063" max="5063" width="6.88671875" style="1" customWidth="1"/>
    <col min="5064" max="5308" width="9.109375" style="1" customWidth="1"/>
    <col min="5309" max="5309" width="3.6640625" style="1"/>
    <col min="5310" max="5310" width="4.5546875" style="1" customWidth="1"/>
    <col min="5311" max="5311" width="5.88671875" style="1" customWidth="1"/>
    <col min="5312" max="5312" width="36" style="1" customWidth="1"/>
    <col min="5313" max="5313" width="9.6640625" style="1" customWidth="1"/>
    <col min="5314" max="5314" width="11.88671875" style="1" customWidth="1"/>
    <col min="5315" max="5315" width="9" style="1" customWidth="1"/>
    <col min="5316" max="5316" width="9.6640625" style="1" customWidth="1"/>
    <col min="5317" max="5317" width="9.33203125" style="1" customWidth="1"/>
    <col min="5318" max="5318" width="8.6640625" style="1" customWidth="1"/>
    <col min="5319" max="5319" width="6.88671875" style="1" customWidth="1"/>
    <col min="5320" max="5564" width="9.109375" style="1" customWidth="1"/>
    <col min="5565" max="5565" width="3.6640625" style="1"/>
    <col min="5566" max="5566" width="4.5546875" style="1" customWidth="1"/>
    <col min="5567" max="5567" width="5.88671875" style="1" customWidth="1"/>
    <col min="5568" max="5568" width="36" style="1" customWidth="1"/>
    <col min="5569" max="5569" width="9.6640625" style="1" customWidth="1"/>
    <col min="5570" max="5570" width="11.88671875" style="1" customWidth="1"/>
    <col min="5571" max="5571" width="9" style="1" customWidth="1"/>
    <col min="5572" max="5572" width="9.6640625" style="1" customWidth="1"/>
    <col min="5573" max="5573" width="9.33203125" style="1" customWidth="1"/>
    <col min="5574" max="5574" width="8.6640625" style="1" customWidth="1"/>
    <col min="5575" max="5575" width="6.88671875" style="1" customWidth="1"/>
    <col min="5576" max="5820" width="9.109375" style="1" customWidth="1"/>
    <col min="5821" max="5821" width="3.6640625" style="1"/>
    <col min="5822" max="5822" width="4.5546875" style="1" customWidth="1"/>
    <col min="5823" max="5823" width="5.88671875" style="1" customWidth="1"/>
    <col min="5824" max="5824" width="36" style="1" customWidth="1"/>
    <col min="5825" max="5825" width="9.6640625" style="1" customWidth="1"/>
    <col min="5826" max="5826" width="11.88671875" style="1" customWidth="1"/>
    <col min="5827" max="5827" width="9" style="1" customWidth="1"/>
    <col min="5828" max="5828" width="9.6640625" style="1" customWidth="1"/>
    <col min="5829" max="5829" width="9.33203125" style="1" customWidth="1"/>
    <col min="5830" max="5830" width="8.6640625" style="1" customWidth="1"/>
    <col min="5831" max="5831" width="6.88671875" style="1" customWidth="1"/>
    <col min="5832" max="6076" width="9.109375" style="1" customWidth="1"/>
    <col min="6077" max="6077" width="3.6640625" style="1"/>
    <col min="6078" max="6078" width="4.5546875" style="1" customWidth="1"/>
    <col min="6079" max="6079" width="5.88671875" style="1" customWidth="1"/>
    <col min="6080" max="6080" width="36" style="1" customWidth="1"/>
    <col min="6081" max="6081" width="9.6640625" style="1" customWidth="1"/>
    <col min="6082" max="6082" width="11.88671875" style="1" customWidth="1"/>
    <col min="6083" max="6083" width="9" style="1" customWidth="1"/>
    <col min="6084" max="6084" width="9.6640625" style="1" customWidth="1"/>
    <col min="6085" max="6085" width="9.33203125" style="1" customWidth="1"/>
    <col min="6086" max="6086" width="8.6640625" style="1" customWidth="1"/>
    <col min="6087" max="6087" width="6.88671875" style="1" customWidth="1"/>
    <col min="6088" max="6332" width="9.109375" style="1" customWidth="1"/>
    <col min="6333" max="6333" width="3.6640625" style="1"/>
    <col min="6334" max="6334" width="4.5546875" style="1" customWidth="1"/>
    <col min="6335" max="6335" width="5.88671875" style="1" customWidth="1"/>
    <col min="6336" max="6336" width="36" style="1" customWidth="1"/>
    <col min="6337" max="6337" width="9.6640625" style="1" customWidth="1"/>
    <col min="6338" max="6338" width="11.88671875" style="1" customWidth="1"/>
    <col min="6339" max="6339" width="9" style="1" customWidth="1"/>
    <col min="6340" max="6340" width="9.6640625" style="1" customWidth="1"/>
    <col min="6341" max="6341" width="9.33203125" style="1" customWidth="1"/>
    <col min="6342" max="6342" width="8.6640625" style="1" customWidth="1"/>
    <col min="6343" max="6343" width="6.88671875" style="1" customWidth="1"/>
    <col min="6344" max="6588" width="9.109375" style="1" customWidth="1"/>
    <col min="6589" max="6589" width="3.6640625" style="1"/>
    <col min="6590" max="6590" width="4.5546875" style="1" customWidth="1"/>
    <col min="6591" max="6591" width="5.88671875" style="1" customWidth="1"/>
    <col min="6592" max="6592" width="36" style="1" customWidth="1"/>
    <col min="6593" max="6593" width="9.6640625" style="1" customWidth="1"/>
    <col min="6594" max="6594" width="11.88671875" style="1" customWidth="1"/>
    <col min="6595" max="6595" width="9" style="1" customWidth="1"/>
    <col min="6596" max="6596" width="9.6640625" style="1" customWidth="1"/>
    <col min="6597" max="6597" width="9.33203125" style="1" customWidth="1"/>
    <col min="6598" max="6598" width="8.6640625" style="1" customWidth="1"/>
    <col min="6599" max="6599" width="6.88671875" style="1" customWidth="1"/>
    <col min="6600" max="6844" width="9.109375" style="1" customWidth="1"/>
    <col min="6845" max="6845" width="3.6640625" style="1"/>
    <col min="6846" max="6846" width="4.5546875" style="1" customWidth="1"/>
    <col min="6847" max="6847" width="5.88671875" style="1" customWidth="1"/>
    <col min="6848" max="6848" width="36" style="1" customWidth="1"/>
    <col min="6849" max="6849" width="9.6640625" style="1" customWidth="1"/>
    <col min="6850" max="6850" width="11.88671875" style="1" customWidth="1"/>
    <col min="6851" max="6851" width="9" style="1" customWidth="1"/>
    <col min="6852" max="6852" width="9.6640625" style="1" customWidth="1"/>
    <col min="6853" max="6853" width="9.33203125" style="1" customWidth="1"/>
    <col min="6854" max="6854" width="8.6640625" style="1" customWidth="1"/>
    <col min="6855" max="6855" width="6.88671875" style="1" customWidth="1"/>
    <col min="6856" max="7100" width="9.109375" style="1" customWidth="1"/>
    <col min="7101" max="7101" width="3.6640625" style="1"/>
    <col min="7102" max="7102" width="4.5546875" style="1" customWidth="1"/>
    <col min="7103" max="7103" width="5.88671875" style="1" customWidth="1"/>
    <col min="7104" max="7104" width="36" style="1" customWidth="1"/>
    <col min="7105" max="7105" width="9.6640625" style="1" customWidth="1"/>
    <col min="7106" max="7106" width="11.88671875" style="1" customWidth="1"/>
    <col min="7107" max="7107" width="9" style="1" customWidth="1"/>
    <col min="7108" max="7108" width="9.6640625" style="1" customWidth="1"/>
    <col min="7109" max="7109" width="9.33203125" style="1" customWidth="1"/>
    <col min="7110" max="7110" width="8.6640625" style="1" customWidth="1"/>
    <col min="7111" max="7111" width="6.88671875" style="1" customWidth="1"/>
    <col min="7112" max="7356" width="9.109375" style="1" customWidth="1"/>
    <col min="7357" max="7357" width="3.6640625" style="1"/>
    <col min="7358" max="7358" width="4.5546875" style="1" customWidth="1"/>
    <col min="7359" max="7359" width="5.88671875" style="1" customWidth="1"/>
    <col min="7360" max="7360" width="36" style="1" customWidth="1"/>
    <col min="7361" max="7361" width="9.6640625" style="1" customWidth="1"/>
    <col min="7362" max="7362" width="11.88671875" style="1" customWidth="1"/>
    <col min="7363" max="7363" width="9" style="1" customWidth="1"/>
    <col min="7364" max="7364" width="9.6640625" style="1" customWidth="1"/>
    <col min="7365" max="7365" width="9.33203125" style="1" customWidth="1"/>
    <col min="7366" max="7366" width="8.6640625" style="1" customWidth="1"/>
    <col min="7367" max="7367" width="6.88671875" style="1" customWidth="1"/>
    <col min="7368" max="7612" width="9.109375" style="1" customWidth="1"/>
    <col min="7613" max="7613" width="3.6640625" style="1"/>
    <col min="7614" max="7614" width="4.5546875" style="1" customWidth="1"/>
    <col min="7615" max="7615" width="5.88671875" style="1" customWidth="1"/>
    <col min="7616" max="7616" width="36" style="1" customWidth="1"/>
    <col min="7617" max="7617" width="9.6640625" style="1" customWidth="1"/>
    <col min="7618" max="7618" width="11.88671875" style="1" customWidth="1"/>
    <col min="7619" max="7619" width="9" style="1" customWidth="1"/>
    <col min="7620" max="7620" width="9.6640625" style="1" customWidth="1"/>
    <col min="7621" max="7621" width="9.33203125" style="1" customWidth="1"/>
    <col min="7622" max="7622" width="8.6640625" style="1" customWidth="1"/>
    <col min="7623" max="7623" width="6.88671875" style="1" customWidth="1"/>
    <col min="7624" max="7868" width="9.109375" style="1" customWidth="1"/>
    <col min="7869" max="7869" width="3.6640625" style="1"/>
    <col min="7870" max="7870" width="4.5546875" style="1" customWidth="1"/>
    <col min="7871" max="7871" width="5.88671875" style="1" customWidth="1"/>
    <col min="7872" max="7872" width="36" style="1" customWidth="1"/>
    <col min="7873" max="7873" width="9.6640625" style="1" customWidth="1"/>
    <col min="7874" max="7874" width="11.88671875" style="1" customWidth="1"/>
    <col min="7875" max="7875" width="9" style="1" customWidth="1"/>
    <col min="7876" max="7876" width="9.6640625" style="1" customWidth="1"/>
    <col min="7877" max="7877" width="9.33203125" style="1" customWidth="1"/>
    <col min="7878" max="7878" width="8.6640625" style="1" customWidth="1"/>
    <col min="7879" max="7879" width="6.88671875" style="1" customWidth="1"/>
    <col min="7880" max="8124" width="9.109375" style="1" customWidth="1"/>
    <col min="8125" max="8125" width="3.6640625" style="1"/>
    <col min="8126" max="8126" width="4.5546875" style="1" customWidth="1"/>
    <col min="8127" max="8127" width="5.88671875" style="1" customWidth="1"/>
    <col min="8128" max="8128" width="36" style="1" customWidth="1"/>
    <col min="8129" max="8129" width="9.6640625" style="1" customWidth="1"/>
    <col min="8130" max="8130" width="11.88671875" style="1" customWidth="1"/>
    <col min="8131" max="8131" width="9" style="1" customWidth="1"/>
    <col min="8132" max="8132" width="9.6640625" style="1" customWidth="1"/>
    <col min="8133" max="8133" width="9.33203125" style="1" customWidth="1"/>
    <col min="8134" max="8134" width="8.6640625" style="1" customWidth="1"/>
    <col min="8135" max="8135" width="6.88671875" style="1" customWidth="1"/>
    <col min="8136" max="8380" width="9.109375" style="1" customWidth="1"/>
    <col min="8381" max="8381" width="3.6640625" style="1"/>
    <col min="8382" max="8382" width="4.5546875" style="1" customWidth="1"/>
    <col min="8383" max="8383" width="5.88671875" style="1" customWidth="1"/>
    <col min="8384" max="8384" width="36" style="1" customWidth="1"/>
    <col min="8385" max="8385" width="9.6640625" style="1" customWidth="1"/>
    <col min="8386" max="8386" width="11.88671875" style="1" customWidth="1"/>
    <col min="8387" max="8387" width="9" style="1" customWidth="1"/>
    <col min="8388" max="8388" width="9.6640625" style="1" customWidth="1"/>
    <col min="8389" max="8389" width="9.33203125" style="1" customWidth="1"/>
    <col min="8390" max="8390" width="8.6640625" style="1" customWidth="1"/>
    <col min="8391" max="8391" width="6.88671875" style="1" customWidth="1"/>
    <col min="8392" max="8636" width="9.109375" style="1" customWidth="1"/>
    <col min="8637" max="8637" width="3.6640625" style="1"/>
    <col min="8638" max="8638" width="4.5546875" style="1" customWidth="1"/>
    <col min="8639" max="8639" width="5.88671875" style="1" customWidth="1"/>
    <col min="8640" max="8640" width="36" style="1" customWidth="1"/>
    <col min="8641" max="8641" width="9.6640625" style="1" customWidth="1"/>
    <col min="8642" max="8642" width="11.88671875" style="1" customWidth="1"/>
    <col min="8643" max="8643" width="9" style="1" customWidth="1"/>
    <col min="8644" max="8644" width="9.6640625" style="1" customWidth="1"/>
    <col min="8645" max="8645" width="9.33203125" style="1" customWidth="1"/>
    <col min="8646" max="8646" width="8.6640625" style="1" customWidth="1"/>
    <col min="8647" max="8647" width="6.88671875" style="1" customWidth="1"/>
    <col min="8648" max="8892" width="9.109375" style="1" customWidth="1"/>
    <col min="8893" max="8893" width="3.6640625" style="1"/>
    <col min="8894" max="8894" width="4.5546875" style="1" customWidth="1"/>
    <col min="8895" max="8895" width="5.88671875" style="1" customWidth="1"/>
    <col min="8896" max="8896" width="36" style="1" customWidth="1"/>
    <col min="8897" max="8897" width="9.6640625" style="1" customWidth="1"/>
    <col min="8898" max="8898" width="11.88671875" style="1" customWidth="1"/>
    <col min="8899" max="8899" width="9" style="1" customWidth="1"/>
    <col min="8900" max="8900" width="9.6640625" style="1" customWidth="1"/>
    <col min="8901" max="8901" width="9.33203125" style="1" customWidth="1"/>
    <col min="8902" max="8902" width="8.6640625" style="1" customWidth="1"/>
    <col min="8903" max="8903" width="6.88671875" style="1" customWidth="1"/>
    <col min="8904" max="9148" width="9.109375" style="1" customWidth="1"/>
    <col min="9149" max="9149" width="3.6640625" style="1"/>
    <col min="9150" max="9150" width="4.5546875" style="1" customWidth="1"/>
    <col min="9151" max="9151" width="5.88671875" style="1" customWidth="1"/>
    <col min="9152" max="9152" width="36" style="1" customWidth="1"/>
    <col min="9153" max="9153" width="9.6640625" style="1" customWidth="1"/>
    <col min="9154" max="9154" width="11.88671875" style="1" customWidth="1"/>
    <col min="9155" max="9155" width="9" style="1" customWidth="1"/>
    <col min="9156" max="9156" width="9.6640625" style="1" customWidth="1"/>
    <col min="9157" max="9157" width="9.33203125" style="1" customWidth="1"/>
    <col min="9158" max="9158" width="8.6640625" style="1" customWidth="1"/>
    <col min="9159" max="9159" width="6.88671875" style="1" customWidth="1"/>
    <col min="9160" max="9404" width="9.109375" style="1" customWidth="1"/>
    <col min="9405" max="9405" width="3.6640625" style="1"/>
    <col min="9406" max="9406" width="4.5546875" style="1" customWidth="1"/>
    <col min="9407" max="9407" width="5.88671875" style="1" customWidth="1"/>
    <col min="9408" max="9408" width="36" style="1" customWidth="1"/>
    <col min="9409" max="9409" width="9.6640625" style="1" customWidth="1"/>
    <col min="9410" max="9410" width="11.88671875" style="1" customWidth="1"/>
    <col min="9411" max="9411" width="9" style="1" customWidth="1"/>
    <col min="9412" max="9412" width="9.6640625" style="1" customWidth="1"/>
    <col min="9413" max="9413" width="9.33203125" style="1" customWidth="1"/>
    <col min="9414" max="9414" width="8.6640625" style="1" customWidth="1"/>
    <col min="9415" max="9415" width="6.88671875" style="1" customWidth="1"/>
    <col min="9416" max="9660" width="9.109375" style="1" customWidth="1"/>
    <col min="9661" max="9661" width="3.6640625" style="1"/>
    <col min="9662" max="9662" width="4.5546875" style="1" customWidth="1"/>
    <col min="9663" max="9663" width="5.88671875" style="1" customWidth="1"/>
    <col min="9664" max="9664" width="36" style="1" customWidth="1"/>
    <col min="9665" max="9665" width="9.6640625" style="1" customWidth="1"/>
    <col min="9666" max="9666" width="11.88671875" style="1" customWidth="1"/>
    <col min="9667" max="9667" width="9" style="1" customWidth="1"/>
    <col min="9668" max="9668" width="9.6640625" style="1" customWidth="1"/>
    <col min="9669" max="9669" width="9.33203125" style="1" customWidth="1"/>
    <col min="9670" max="9670" width="8.6640625" style="1" customWidth="1"/>
    <col min="9671" max="9671" width="6.88671875" style="1" customWidth="1"/>
    <col min="9672" max="9916" width="9.109375" style="1" customWidth="1"/>
    <col min="9917" max="9917" width="3.6640625" style="1"/>
    <col min="9918" max="9918" width="4.5546875" style="1" customWidth="1"/>
    <col min="9919" max="9919" width="5.88671875" style="1" customWidth="1"/>
    <col min="9920" max="9920" width="36" style="1" customWidth="1"/>
    <col min="9921" max="9921" width="9.6640625" style="1" customWidth="1"/>
    <col min="9922" max="9922" width="11.88671875" style="1" customWidth="1"/>
    <col min="9923" max="9923" width="9" style="1" customWidth="1"/>
    <col min="9924" max="9924" width="9.6640625" style="1" customWidth="1"/>
    <col min="9925" max="9925" width="9.33203125" style="1" customWidth="1"/>
    <col min="9926" max="9926" width="8.6640625" style="1" customWidth="1"/>
    <col min="9927" max="9927" width="6.88671875" style="1" customWidth="1"/>
    <col min="9928" max="10172" width="9.109375" style="1" customWidth="1"/>
    <col min="10173" max="10173" width="3.6640625" style="1"/>
    <col min="10174" max="10174" width="4.5546875" style="1" customWidth="1"/>
    <col min="10175" max="10175" width="5.88671875" style="1" customWidth="1"/>
    <col min="10176" max="10176" width="36" style="1" customWidth="1"/>
    <col min="10177" max="10177" width="9.6640625" style="1" customWidth="1"/>
    <col min="10178" max="10178" width="11.88671875" style="1" customWidth="1"/>
    <col min="10179" max="10179" width="9" style="1" customWidth="1"/>
    <col min="10180" max="10180" width="9.6640625" style="1" customWidth="1"/>
    <col min="10181" max="10181" width="9.33203125" style="1" customWidth="1"/>
    <col min="10182" max="10182" width="8.6640625" style="1" customWidth="1"/>
    <col min="10183" max="10183" width="6.88671875" style="1" customWidth="1"/>
    <col min="10184" max="10428" width="9.109375" style="1" customWidth="1"/>
    <col min="10429" max="10429" width="3.6640625" style="1"/>
    <col min="10430" max="10430" width="4.5546875" style="1" customWidth="1"/>
    <col min="10431" max="10431" width="5.88671875" style="1" customWidth="1"/>
    <col min="10432" max="10432" width="36" style="1" customWidth="1"/>
    <col min="10433" max="10433" width="9.6640625" style="1" customWidth="1"/>
    <col min="10434" max="10434" width="11.88671875" style="1" customWidth="1"/>
    <col min="10435" max="10435" width="9" style="1" customWidth="1"/>
    <col min="10436" max="10436" width="9.6640625" style="1" customWidth="1"/>
    <col min="10437" max="10437" width="9.33203125" style="1" customWidth="1"/>
    <col min="10438" max="10438" width="8.6640625" style="1" customWidth="1"/>
    <col min="10439" max="10439" width="6.88671875" style="1" customWidth="1"/>
    <col min="10440" max="10684" width="9.109375" style="1" customWidth="1"/>
    <col min="10685" max="10685" width="3.6640625" style="1"/>
    <col min="10686" max="10686" width="4.5546875" style="1" customWidth="1"/>
    <col min="10687" max="10687" width="5.88671875" style="1" customWidth="1"/>
    <col min="10688" max="10688" width="36" style="1" customWidth="1"/>
    <col min="10689" max="10689" width="9.6640625" style="1" customWidth="1"/>
    <col min="10690" max="10690" width="11.88671875" style="1" customWidth="1"/>
    <col min="10691" max="10691" width="9" style="1" customWidth="1"/>
    <col min="10692" max="10692" width="9.6640625" style="1" customWidth="1"/>
    <col min="10693" max="10693" width="9.33203125" style="1" customWidth="1"/>
    <col min="10694" max="10694" width="8.6640625" style="1" customWidth="1"/>
    <col min="10695" max="10695" width="6.88671875" style="1" customWidth="1"/>
    <col min="10696" max="10940" width="9.109375" style="1" customWidth="1"/>
    <col min="10941" max="10941" width="3.6640625" style="1"/>
    <col min="10942" max="10942" width="4.5546875" style="1" customWidth="1"/>
    <col min="10943" max="10943" width="5.88671875" style="1" customWidth="1"/>
    <col min="10944" max="10944" width="36" style="1" customWidth="1"/>
    <col min="10945" max="10945" width="9.6640625" style="1" customWidth="1"/>
    <col min="10946" max="10946" width="11.88671875" style="1" customWidth="1"/>
    <col min="10947" max="10947" width="9" style="1" customWidth="1"/>
    <col min="10948" max="10948" width="9.6640625" style="1" customWidth="1"/>
    <col min="10949" max="10949" width="9.33203125" style="1" customWidth="1"/>
    <col min="10950" max="10950" width="8.6640625" style="1" customWidth="1"/>
    <col min="10951" max="10951" width="6.88671875" style="1" customWidth="1"/>
    <col min="10952" max="11196" width="9.109375" style="1" customWidth="1"/>
    <col min="11197" max="11197" width="3.6640625" style="1"/>
    <col min="11198" max="11198" width="4.5546875" style="1" customWidth="1"/>
    <col min="11199" max="11199" width="5.88671875" style="1" customWidth="1"/>
    <col min="11200" max="11200" width="36" style="1" customWidth="1"/>
    <col min="11201" max="11201" width="9.6640625" style="1" customWidth="1"/>
    <col min="11202" max="11202" width="11.88671875" style="1" customWidth="1"/>
    <col min="11203" max="11203" width="9" style="1" customWidth="1"/>
    <col min="11204" max="11204" width="9.6640625" style="1" customWidth="1"/>
    <col min="11205" max="11205" width="9.33203125" style="1" customWidth="1"/>
    <col min="11206" max="11206" width="8.6640625" style="1" customWidth="1"/>
    <col min="11207" max="11207" width="6.88671875" style="1" customWidth="1"/>
    <col min="11208" max="11452" width="9.109375" style="1" customWidth="1"/>
    <col min="11453" max="11453" width="3.6640625" style="1"/>
    <col min="11454" max="11454" width="4.5546875" style="1" customWidth="1"/>
    <col min="11455" max="11455" width="5.88671875" style="1" customWidth="1"/>
    <col min="11456" max="11456" width="36" style="1" customWidth="1"/>
    <col min="11457" max="11457" width="9.6640625" style="1" customWidth="1"/>
    <col min="11458" max="11458" width="11.88671875" style="1" customWidth="1"/>
    <col min="11459" max="11459" width="9" style="1" customWidth="1"/>
    <col min="11460" max="11460" width="9.6640625" style="1" customWidth="1"/>
    <col min="11461" max="11461" width="9.33203125" style="1" customWidth="1"/>
    <col min="11462" max="11462" width="8.6640625" style="1" customWidth="1"/>
    <col min="11463" max="11463" width="6.88671875" style="1" customWidth="1"/>
    <col min="11464" max="11708" width="9.109375" style="1" customWidth="1"/>
    <col min="11709" max="11709" width="3.6640625" style="1"/>
    <col min="11710" max="11710" width="4.5546875" style="1" customWidth="1"/>
    <col min="11711" max="11711" width="5.88671875" style="1" customWidth="1"/>
    <col min="11712" max="11712" width="36" style="1" customWidth="1"/>
    <col min="11713" max="11713" width="9.6640625" style="1" customWidth="1"/>
    <col min="11714" max="11714" width="11.88671875" style="1" customWidth="1"/>
    <col min="11715" max="11715" width="9" style="1" customWidth="1"/>
    <col min="11716" max="11716" width="9.6640625" style="1" customWidth="1"/>
    <col min="11717" max="11717" width="9.33203125" style="1" customWidth="1"/>
    <col min="11718" max="11718" width="8.6640625" style="1" customWidth="1"/>
    <col min="11719" max="11719" width="6.88671875" style="1" customWidth="1"/>
    <col min="11720" max="11964" width="9.109375" style="1" customWidth="1"/>
    <col min="11965" max="11965" width="3.6640625" style="1"/>
    <col min="11966" max="11966" width="4.5546875" style="1" customWidth="1"/>
    <col min="11967" max="11967" width="5.88671875" style="1" customWidth="1"/>
    <col min="11968" max="11968" width="36" style="1" customWidth="1"/>
    <col min="11969" max="11969" width="9.6640625" style="1" customWidth="1"/>
    <col min="11970" max="11970" width="11.88671875" style="1" customWidth="1"/>
    <col min="11971" max="11971" width="9" style="1" customWidth="1"/>
    <col min="11972" max="11972" width="9.6640625" style="1" customWidth="1"/>
    <col min="11973" max="11973" width="9.33203125" style="1" customWidth="1"/>
    <col min="11974" max="11974" width="8.6640625" style="1" customWidth="1"/>
    <col min="11975" max="11975" width="6.88671875" style="1" customWidth="1"/>
    <col min="11976" max="12220" width="9.109375" style="1" customWidth="1"/>
    <col min="12221" max="12221" width="3.6640625" style="1"/>
    <col min="12222" max="12222" width="4.5546875" style="1" customWidth="1"/>
    <col min="12223" max="12223" width="5.88671875" style="1" customWidth="1"/>
    <col min="12224" max="12224" width="36" style="1" customWidth="1"/>
    <col min="12225" max="12225" width="9.6640625" style="1" customWidth="1"/>
    <col min="12226" max="12226" width="11.88671875" style="1" customWidth="1"/>
    <col min="12227" max="12227" width="9" style="1" customWidth="1"/>
    <col min="12228" max="12228" width="9.6640625" style="1" customWidth="1"/>
    <col min="12229" max="12229" width="9.33203125" style="1" customWidth="1"/>
    <col min="12230" max="12230" width="8.6640625" style="1" customWidth="1"/>
    <col min="12231" max="12231" width="6.88671875" style="1" customWidth="1"/>
    <col min="12232" max="12476" width="9.109375" style="1" customWidth="1"/>
    <col min="12477" max="12477" width="3.6640625" style="1"/>
    <col min="12478" max="12478" width="4.5546875" style="1" customWidth="1"/>
    <col min="12479" max="12479" width="5.88671875" style="1" customWidth="1"/>
    <col min="12480" max="12480" width="36" style="1" customWidth="1"/>
    <col min="12481" max="12481" width="9.6640625" style="1" customWidth="1"/>
    <col min="12482" max="12482" width="11.88671875" style="1" customWidth="1"/>
    <col min="12483" max="12483" width="9" style="1" customWidth="1"/>
    <col min="12484" max="12484" width="9.6640625" style="1" customWidth="1"/>
    <col min="12485" max="12485" width="9.33203125" style="1" customWidth="1"/>
    <col min="12486" max="12486" width="8.6640625" style="1" customWidth="1"/>
    <col min="12487" max="12487" width="6.88671875" style="1" customWidth="1"/>
    <col min="12488" max="12732" width="9.109375" style="1" customWidth="1"/>
    <col min="12733" max="12733" width="3.6640625" style="1"/>
    <col min="12734" max="12734" width="4.5546875" style="1" customWidth="1"/>
    <col min="12735" max="12735" width="5.88671875" style="1" customWidth="1"/>
    <col min="12736" max="12736" width="36" style="1" customWidth="1"/>
    <col min="12737" max="12737" width="9.6640625" style="1" customWidth="1"/>
    <col min="12738" max="12738" width="11.88671875" style="1" customWidth="1"/>
    <col min="12739" max="12739" width="9" style="1" customWidth="1"/>
    <col min="12740" max="12740" width="9.6640625" style="1" customWidth="1"/>
    <col min="12741" max="12741" width="9.33203125" style="1" customWidth="1"/>
    <col min="12742" max="12742" width="8.6640625" style="1" customWidth="1"/>
    <col min="12743" max="12743" width="6.88671875" style="1" customWidth="1"/>
    <col min="12744" max="12988" width="9.109375" style="1" customWidth="1"/>
    <col min="12989" max="12989" width="3.6640625" style="1"/>
    <col min="12990" max="12990" width="4.5546875" style="1" customWidth="1"/>
    <col min="12991" max="12991" width="5.88671875" style="1" customWidth="1"/>
    <col min="12992" max="12992" width="36" style="1" customWidth="1"/>
    <col min="12993" max="12993" width="9.6640625" style="1" customWidth="1"/>
    <col min="12994" max="12994" width="11.88671875" style="1" customWidth="1"/>
    <col min="12995" max="12995" width="9" style="1" customWidth="1"/>
    <col min="12996" max="12996" width="9.6640625" style="1" customWidth="1"/>
    <col min="12997" max="12997" width="9.33203125" style="1" customWidth="1"/>
    <col min="12998" max="12998" width="8.6640625" style="1" customWidth="1"/>
    <col min="12999" max="12999" width="6.88671875" style="1" customWidth="1"/>
    <col min="13000" max="13244" width="9.109375" style="1" customWidth="1"/>
    <col min="13245" max="13245" width="3.6640625" style="1"/>
    <col min="13246" max="13246" width="4.5546875" style="1" customWidth="1"/>
    <col min="13247" max="13247" width="5.88671875" style="1" customWidth="1"/>
    <col min="13248" max="13248" width="36" style="1" customWidth="1"/>
    <col min="13249" max="13249" width="9.6640625" style="1" customWidth="1"/>
    <col min="13250" max="13250" width="11.88671875" style="1" customWidth="1"/>
    <col min="13251" max="13251" width="9" style="1" customWidth="1"/>
    <col min="13252" max="13252" width="9.6640625" style="1" customWidth="1"/>
    <col min="13253" max="13253" width="9.33203125" style="1" customWidth="1"/>
    <col min="13254" max="13254" width="8.6640625" style="1" customWidth="1"/>
    <col min="13255" max="13255" width="6.88671875" style="1" customWidth="1"/>
    <col min="13256" max="13500" width="9.109375" style="1" customWidth="1"/>
    <col min="13501" max="13501" width="3.6640625" style="1"/>
    <col min="13502" max="13502" width="4.5546875" style="1" customWidth="1"/>
    <col min="13503" max="13503" width="5.88671875" style="1" customWidth="1"/>
    <col min="13504" max="13504" width="36" style="1" customWidth="1"/>
    <col min="13505" max="13505" width="9.6640625" style="1" customWidth="1"/>
    <col min="13506" max="13506" width="11.88671875" style="1" customWidth="1"/>
    <col min="13507" max="13507" width="9" style="1" customWidth="1"/>
    <col min="13508" max="13508" width="9.6640625" style="1" customWidth="1"/>
    <col min="13509" max="13509" width="9.33203125" style="1" customWidth="1"/>
    <col min="13510" max="13510" width="8.6640625" style="1" customWidth="1"/>
    <col min="13511" max="13511" width="6.88671875" style="1" customWidth="1"/>
    <col min="13512" max="13756" width="9.109375" style="1" customWidth="1"/>
    <col min="13757" max="13757" width="3.6640625" style="1"/>
    <col min="13758" max="13758" width="4.5546875" style="1" customWidth="1"/>
    <col min="13759" max="13759" width="5.88671875" style="1" customWidth="1"/>
    <col min="13760" max="13760" width="36" style="1" customWidth="1"/>
    <col min="13761" max="13761" width="9.6640625" style="1" customWidth="1"/>
    <col min="13762" max="13762" width="11.88671875" style="1" customWidth="1"/>
    <col min="13763" max="13763" width="9" style="1" customWidth="1"/>
    <col min="13764" max="13764" width="9.6640625" style="1" customWidth="1"/>
    <col min="13765" max="13765" width="9.33203125" style="1" customWidth="1"/>
    <col min="13766" max="13766" width="8.6640625" style="1" customWidth="1"/>
    <col min="13767" max="13767" width="6.88671875" style="1" customWidth="1"/>
    <col min="13768" max="14012" width="9.109375" style="1" customWidth="1"/>
    <col min="14013" max="14013" width="3.6640625" style="1"/>
    <col min="14014" max="14014" width="4.5546875" style="1" customWidth="1"/>
    <col min="14015" max="14015" width="5.88671875" style="1" customWidth="1"/>
    <col min="14016" max="14016" width="36" style="1" customWidth="1"/>
    <col min="14017" max="14017" width="9.6640625" style="1" customWidth="1"/>
    <col min="14018" max="14018" width="11.88671875" style="1" customWidth="1"/>
    <col min="14019" max="14019" width="9" style="1" customWidth="1"/>
    <col min="14020" max="14020" width="9.6640625" style="1" customWidth="1"/>
    <col min="14021" max="14021" width="9.33203125" style="1" customWidth="1"/>
    <col min="14022" max="14022" width="8.6640625" style="1" customWidth="1"/>
    <col min="14023" max="14023" width="6.88671875" style="1" customWidth="1"/>
    <col min="14024" max="14268" width="9.109375" style="1" customWidth="1"/>
    <col min="14269" max="14269" width="3.6640625" style="1"/>
    <col min="14270" max="14270" width="4.5546875" style="1" customWidth="1"/>
    <col min="14271" max="14271" width="5.88671875" style="1" customWidth="1"/>
    <col min="14272" max="14272" width="36" style="1" customWidth="1"/>
    <col min="14273" max="14273" width="9.6640625" style="1" customWidth="1"/>
    <col min="14274" max="14274" width="11.88671875" style="1" customWidth="1"/>
    <col min="14275" max="14275" width="9" style="1" customWidth="1"/>
    <col min="14276" max="14276" width="9.6640625" style="1" customWidth="1"/>
    <col min="14277" max="14277" width="9.33203125" style="1" customWidth="1"/>
    <col min="14278" max="14278" width="8.6640625" style="1" customWidth="1"/>
    <col min="14279" max="14279" width="6.88671875" style="1" customWidth="1"/>
    <col min="14280" max="14524" width="9.109375" style="1" customWidth="1"/>
    <col min="14525" max="14525" width="3.6640625" style="1"/>
    <col min="14526" max="14526" width="4.5546875" style="1" customWidth="1"/>
    <col min="14527" max="14527" width="5.88671875" style="1" customWidth="1"/>
    <col min="14528" max="14528" width="36" style="1" customWidth="1"/>
    <col min="14529" max="14529" width="9.6640625" style="1" customWidth="1"/>
    <col min="14530" max="14530" width="11.88671875" style="1" customWidth="1"/>
    <col min="14531" max="14531" width="9" style="1" customWidth="1"/>
    <col min="14532" max="14532" width="9.6640625" style="1" customWidth="1"/>
    <col min="14533" max="14533" width="9.33203125" style="1" customWidth="1"/>
    <col min="14534" max="14534" width="8.6640625" style="1" customWidth="1"/>
    <col min="14535" max="14535" width="6.88671875" style="1" customWidth="1"/>
    <col min="14536" max="14780" width="9.109375" style="1" customWidth="1"/>
    <col min="14781" max="14781" width="3.6640625" style="1"/>
    <col min="14782" max="14782" width="4.5546875" style="1" customWidth="1"/>
    <col min="14783" max="14783" width="5.88671875" style="1" customWidth="1"/>
    <col min="14784" max="14784" width="36" style="1" customWidth="1"/>
    <col min="14785" max="14785" width="9.6640625" style="1" customWidth="1"/>
    <col min="14786" max="14786" width="11.88671875" style="1" customWidth="1"/>
    <col min="14787" max="14787" width="9" style="1" customWidth="1"/>
    <col min="14788" max="14788" width="9.6640625" style="1" customWidth="1"/>
    <col min="14789" max="14789" width="9.33203125" style="1" customWidth="1"/>
    <col min="14790" max="14790" width="8.6640625" style="1" customWidth="1"/>
    <col min="14791" max="14791" width="6.88671875" style="1" customWidth="1"/>
    <col min="14792" max="15036" width="9.109375" style="1" customWidth="1"/>
    <col min="15037" max="15037" width="3.6640625" style="1"/>
    <col min="15038" max="15038" width="4.5546875" style="1" customWidth="1"/>
    <col min="15039" max="15039" width="5.88671875" style="1" customWidth="1"/>
    <col min="15040" max="15040" width="36" style="1" customWidth="1"/>
    <col min="15041" max="15041" width="9.6640625" style="1" customWidth="1"/>
    <col min="15042" max="15042" width="11.88671875" style="1" customWidth="1"/>
    <col min="15043" max="15043" width="9" style="1" customWidth="1"/>
    <col min="15044" max="15044" width="9.6640625" style="1" customWidth="1"/>
    <col min="15045" max="15045" width="9.33203125" style="1" customWidth="1"/>
    <col min="15046" max="15046" width="8.6640625" style="1" customWidth="1"/>
    <col min="15047" max="15047" width="6.88671875" style="1" customWidth="1"/>
    <col min="15048" max="15292" width="9.109375" style="1" customWidth="1"/>
    <col min="15293" max="15293" width="3.6640625" style="1"/>
    <col min="15294" max="15294" width="4.5546875" style="1" customWidth="1"/>
    <col min="15295" max="15295" width="5.88671875" style="1" customWidth="1"/>
    <col min="15296" max="15296" width="36" style="1" customWidth="1"/>
    <col min="15297" max="15297" width="9.6640625" style="1" customWidth="1"/>
    <col min="15298" max="15298" width="11.88671875" style="1" customWidth="1"/>
    <col min="15299" max="15299" width="9" style="1" customWidth="1"/>
    <col min="15300" max="15300" width="9.6640625" style="1" customWidth="1"/>
    <col min="15301" max="15301" width="9.33203125" style="1" customWidth="1"/>
    <col min="15302" max="15302" width="8.6640625" style="1" customWidth="1"/>
    <col min="15303" max="15303" width="6.88671875" style="1" customWidth="1"/>
    <col min="15304" max="15548" width="9.109375" style="1" customWidth="1"/>
    <col min="15549" max="15549" width="3.6640625" style="1"/>
    <col min="15550" max="15550" width="4.5546875" style="1" customWidth="1"/>
    <col min="15551" max="15551" width="5.88671875" style="1" customWidth="1"/>
    <col min="15552" max="15552" width="36" style="1" customWidth="1"/>
    <col min="15553" max="15553" width="9.6640625" style="1" customWidth="1"/>
    <col min="15554" max="15554" width="11.88671875" style="1" customWidth="1"/>
    <col min="15555" max="15555" width="9" style="1" customWidth="1"/>
    <col min="15556" max="15556" width="9.6640625" style="1" customWidth="1"/>
    <col min="15557" max="15557" width="9.33203125" style="1" customWidth="1"/>
    <col min="15558" max="15558" width="8.6640625" style="1" customWidth="1"/>
    <col min="15559" max="15559" width="6.88671875" style="1" customWidth="1"/>
    <col min="15560" max="15804" width="9.109375" style="1" customWidth="1"/>
    <col min="15805" max="15805" width="3.6640625" style="1"/>
    <col min="15806" max="15806" width="4.5546875" style="1" customWidth="1"/>
    <col min="15807" max="15807" width="5.88671875" style="1" customWidth="1"/>
    <col min="15808" max="15808" width="36" style="1" customWidth="1"/>
    <col min="15809" max="15809" width="9.6640625" style="1" customWidth="1"/>
    <col min="15810" max="15810" width="11.88671875" style="1" customWidth="1"/>
    <col min="15811" max="15811" width="9" style="1" customWidth="1"/>
    <col min="15812" max="15812" width="9.6640625" style="1" customWidth="1"/>
    <col min="15813" max="15813" width="9.33203125" style="1" customWidth="1"/>
    <col min="15814" max="15814" width="8.6640625" style="1" customWidth="1"/>
    <col min="15815" max="15815" width="6.88671875" style="1" customWidth="1"/>
    <col min="15816" max="16060" width="9.109375" style="1" customWidth="1"/>
    <col min="16061" max="16061" width="3.6640625" style="1"/>
    <col min="16062" max="16062" width="4.5546875" style="1" customWidth="1"/>
    <col min="16063" max="16063" width="5.88671875" style="1" customWidth="1"/>
    <col min="16064" max="16064" width="36" style="1" customWidth="1"/>
    <col min="16065" max="16065" width="9.6640625" style="1" customWidth="1"/>
    <col min="16066" max="16066" width="11.88671875" style="1" customWidth="1"/>
    <col min="16067" max="16067" width="9" style="1" customWidth="1"/>
    <col min="16068" max="16068" width="9.6640625" style="1" customWidth="1"/>
    <col min="16069" max="16069" width="9.33203125" style="1" customWidth="1"/>
    <col min="16070" max="16070" width="8.6640625" style="1" customWidth="1"/>
    <col min="16071" max="16071" width="6.88671875" style="1" customWidth="1"/>
    <col min="16072" max="16316" width="9.109375" style="1" customWidth="1"/>
    <col min="16317" max="16384" width="3.6640625" style="1"/>
  </cols>
  <sheetData>
    <row r="1" spans="1:9" x14ac:dyDescent="0.2">
      <c r="C1" s="4"/>
      <c r="G1" s="221"/>
      <c r="H1" s="221"/>
      <c r="I1" s="221"/>
    </row>
    <row r="2" spans="1:9" x14ac:dyDescent="0.2">
      <c r="A2" s="227" t="s">
        <v>16</v>
      </c>
      <c r="B2" s="227"/>
      <c r="C2" s="227"/>
      <c r="D2" s="227"/>
      <c r="E2" s="227"/>
      <c r="F2" s="227"/>
      <c r="G2" s="227"/>
      <c r="H2" s="227"/>
      <c r="I2" s="227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228" t="s">
        <v>17</v>
      </c>
      <c r="D4" s="228"/>
      <c r="E4" s="228"/>
      <c r="F4" s="228"/>
      <c r="G4" s="228"/>
      <c r="H4" s="228"/>
      <c r="I4" s="228"/>
    </row>
    <row r="5" spans="1:9" ht="11.25" customHeight="1" x14ac:dyDescent="0.2">
      <c r="A5" s="87"/>
      <c r="B5" s="87"/>
      <c r="C5" s="230" t="s">
        <v>52</v>
      </c>
      <c r="D5" s="230"/>
      <c r="E5" s="230"/>
      <c r="F5" s="230"/>
      <c r="G5" s="230"/>
      <c r="H5" s="230"/>
      <c r="I5" s="230"/>
    </row>
    <row r="6" spans="1:9" x14ac:dyDescent="0.2">
      <c r="A6" s="225" t="s">
        <v>18</v>
      </c>
      <c r="B6" s="225"/>
      <c r="C6" s="225"/>
      <c r="D6" s="229" t="str">
        <f>'Kopt a'!B13</f>
        <v>DAUDZDZĪVOKĻU DZĪVOJAMĀ ĒKA</v>
      </c>
      <c r="E6" s="229"/>
      <c r="F6" s="229"/>
      <c r="G6" s="229"/>
      <c r="H6" s="229"/>
      <c r="I6" s="229"/>
    </row>
    <row r="7" spans="1:9" x14ac:dyDescent="0.2">
      <c r="A7" s="225" t="s">
        <v>6</v>
      </c>
      <c r="B7" s="225"/>
      <c r="C7" s="225"/>
      <c r="D7" s="226" t="str">
        <f>'Kopt a'!B14</f>
        <v>ENERGOEFEKTIVITĀTES PAAUGSTINĀŠANA DAUDZDZĪVOKĻU DZĪVOJAMAI ĒKAI</v>
      </c>
      <c r="E7" s="226"/>
      <c r="F7" s="226"/>
      <c r="G7" s="226"/>
      <c r="H7" s="226"/>
      <c r="I7" s="226"/>
    </row>
    <row r="8" spans="1:9" x14ac:dyDescent="0.2">
      <c r="A8" s="235" t="s">
        <v>19</v>
      </c>
      <c r="B8" s="235"/>
      <c r="C8" s="235"/>
      <c r="D8" s="226" t="str">
        <f>'Kopt a'!B15</f>
        <v>Pasta iela 34, Jelgava, ēkas kad. apz. 0900 001 0177 001</v>
      </c>
      <c r="E8" s="226"/>
      <c r="F8" s="226"/>
      <c r="G8" s="226"/>
      <c r="H8" s="226"/>
      <c r="I8" s="226"/>
    </row>
    <row r="9" spans="1:9" x14ac:dyDescent="0.2">
      <c r="A9" s="235" t="s">
        <v>20</v>
      </c>
      <c r="B9" s="235"/>
      <c r="C9" s="235"/>
      <c r="D9" s="226">
        <f>'Kopt a'!B16</f>
        <v>0</v>
      </c>
      <c r="E9" s="226"/>
      <c r="F9" s="226"/>
      <c r="G9" s="226"/>
      <c r="H9" s="226"/>
      <c r="I9" s="226"/>
    </row>
    <row r="10" spans="1:9" x14ac:dyDescent="0.2">
      <c r="C10" s="4" t="s">
        <v>21</v>
      </c>
      <c r="D10" s="236">
        <f>E32</f>
        <v>0</v>
      </c>
      <c r="E10" s="236"/>
      <c r="F10" s="80"/>
      <c r="G10" s="80"/>
      <c r="H10" s="80"/>
      <c r="I10" s="80"/>
    </row>
    <row r="11" spans="1:9" x14ac:dyDescent="0.2">
      <c r="C11" s="4" t="s">
        <v>22</v>
      </c>
      <c r="D11" s="236">
        <f>I28</f>
        <v>0</v>
      </c>
      <c r="E11" s="236"/>
      <c r="F11" s="80"/>
      <c r="G11" s="80"/>
      <c r="H11" s="80"/>
      <c r="I11" s="80"/>
    </row>
    <row r="12" spans="1:9" ht="10.8" thickBot="1" x14ac:dyDescent="0.25">
      <c r="F12" s="18"/>
      <c r="G12" s="18"/>
      <c r="H12" s="18"/>
      <c r="I12" s="18"/>
    </row>
    <row r="13" spans="1:9" x14ac:dyDescent="0.2">
      <c r="A13" s="239" t="s">
        <v>23</v>
      </c>
      <c r="B13" s="241" t="s">
        <v>24</v>
      </c>
      <c r="C13" s="243" t="s">
        <v>25</v>
      </c>
      <c r="D13" s="244"/>
      <c r="E13" s="237" t="s">
        <v>26</v>
      </c>
      <c r="F13" s="231" t="s">
        <v>27</v>
      </c>
      <c r="G13" s="232"/>
      <c r="H13" s="232"/>
      <c r="I13" s="233" t="s">
        <v>28</v>
      </c>
    </row>
    <row r="14" spans="1:9" ht="21" thickBot="1" x14ac:dyDescent="0.25">
      <c r="A14" s="240"/>
      <c r="B14" s="242"/>
      <c r="C14" s="245"/>
      <c r="D14" s="246"/>
      <c r="E14" s="238"/>
      <c r="F14" s="19" t="s">
        <v>29</v>
      </c>
      <c r="G14" s="20" t="s">
        <v>30</v>
      </c>
      <c r="H14" s="20" t="s">
        <v>31</v>
      </c>
      <c r="I14" s="234"/>
    </row>
    <row r="15" spans="1:9" x14ac:dyDescent="0.2">
      <c r="A15" s="75">
        <f>IF(E15=0,0,IF(COUNTBLANK(E15)=1,0,COUNTA($E$15:E15)))</f>
        <v>0</v>
      </c>
      <c r="B15" s="24">
        <f>IF(A15=0,0,CONCATENATE("Lt-",A15))</f>
        <v>0</v>
      </c>
      <c r="C15" s="247" t="str">
        <f>'1a'!C2:I2</f>
        <v>BŪVLAUKUMA SAGATAVOŠANA UN UZTURĒŠANA</v>
      </c>
      <c r="D15" s="248"/>
      <c r="E15" s="59">
        <f>'1a'!P35</f>
        <v>0</v>
      </c>
      <c r="F15" s="54">
        <f>'1a'!M35</f>
        <v>0</v>
      </c>
      <c r="G15" s="55">
        <f>'1a'!N35</f>
        <v>0</v>
      </c>
      <c r="H15" s="55">
        <f>'1a'!O35</f>
        <v>0</v>
      </c>
      <c r="I15" s="56">
        <f>'1a'!L35</f>
        <v>0</v>
      </c>
    </row>
    <row r="16" spans="1:9" x14ac:dyDescent="0.2">
      <c r="A16" s="76">
        <f>IF(E16=0,0,IF(COUNTBLANK(E16)=1,0,COUNTA($E$15:E16)))</f>
        <v>0</v>
      </c>
      <c r="B16" s="25">
        <f>IF(A16=0,0,CONCATENATE("Lt-",A16))</f>
        <v>0</v>
      </c>
      <c r="C16" s="249" t="str">
        <f>'2a'!C2:I2</f>
        <v>DEMONTĀŽAS DARBI</v>
      </c>
      <c r="D16" s="250"/>
      <c r="E16" s="60">
        <f>'2a'!P102</f>
        <v>0</v>
      </c>
      <c r="F16" s="46">
        <f>'2a'!M102</f>
        <v>0</v>
      </c>
      <c r="G16" s="57">
        <f>'2a'!N102</f>
        <v>0</v>
      </c>
      <c r="H16" s="57">
        <f>'2a'!O102</f>
        <v>0</v>
      </c>
      <c r="I16" s="58">
        <f>'2a'!L102</f>
        <v>0</v>
      </c>
    </row>
    <row r="17" spans="1:9" x14ac:dyDescent="0.2">
      <c r="A17" s="76">
        <f>IF(E17=0,0,IF(COUNTBLANK(E17)=1,0,COUNTA($E$15:E17)))</f>
        <v>0</v>
      </c>
      <c r="B17" s="25">
        <f t="shared" ref="B17:B27" si="0">IF(A17=0,0,CONCATENATE("Lt-",A17))</f>
        <v>0</v>
      </c>
      <c r="C17" s="249" t="str">
        <f>'3a'!C2:I2</f>
        <v>PAGRABA STĀVA SILTINĀŠANAS DARBI</v>
      </c>
      <c r="D17" s="250"/>
      <c r="E17" s="61">
        <f>'3a'!P35</f>
        <v>0</v>
      </c>
      <c r="F17" s="46">
        <f>'3a'!M35</f>
        <v>0</v>
      </c>
      <c r="G17" s="57">
        <f>'3a'!N35</f>
        <v>0</v>
      </c>
      <c r="H17" s="57">
        <f>'3a'!O35</f>
        <v>0</v>
      </c>
      <c r="I17" s="58">
        <f>'3a'!L35</f>
        <v>0</v>
      </c>
    </row>
    <row r="18" spans="1:9" ht="11.25" customHeight="1" x14ac:dyDescent="0.2">
      <c r="A18" s="76">
        <f>IF(E18=0,0,IF(COUNTBLANK(E18)=1,0,COUNTA($E$15:E18)))</f>
        <v>0</v>
      </c>
      <c r="B18" s="25">
        <f t="shared" si="0"/>
        <v>0</v>
      </c>
      <c r="C18" s="249" t="str">
        <f>'4a'!C2:I2</f>
        <v>LOGI UN DURVIS</v>
      </c>
      <c r="D18" s="250"/>
      <c r="E18" s="61">
        <f>'4a'!P38</f>
        <v>0</v>
      </c>
      <c r="F18" s="46">
        <f>'4a'!M38</f>
        <v>0</v>
      </c>
      <c r="G18" s="57">
        <f>'4a'!N38</f>
        <v>0</v>
      </c>
      <c r="H18" s="57">
        <f>'4a'!O38</f>
        <v>0</v>
      </c>
      <c r="I18" s="58">
        <f>'4a'!L38</f>
        <v>0</v>
      </c>
    </row>
    <row r="19" spans="1:9" x14ac:dyDescent="0.2">
      <c r="A19" s="76">
        <f>IF(E19=0,0,IF(COUNTBLANK(E19)=1,0,COUNTA($E$15:E19)))</f>
        <v>0</v>
      </c>
      <c r="B19" s="25">
        <f t="shared" si="0"/>
        <v>0</v>
      </c>
      <c r="C19" s="249" t="str">
        <f>'5a'!C2:I2</f>
        <v>FASĀDES APDARE</v>
      </c>
      <c r="D19" s="250"/>
      <c r="E19" s="61">
        <f>'5a'!P205</f>
        <v>0</v>
      </c>
      <c r="F19" s="46">
        <f>'5a'!M205</f>
        <v>0</v>
      </c>
      <c r="G19" s="57">
        <f>'5a'!N205</f>
        <v>0</v>
      </c>
      <c r="H19" s="57">
        <f>'5a'!O205</f>
        <v>0</v>
      </c>
      <c r="I19" s="58">
        <f>'5a'!L205</f>
        <v>0</v>
      </c>
    </row>
    <row r="20" spans="1:9" x14ac:dyDescent="0.2">
      <c r="A20" s="76">
        <f>IF(E20=0,0,IF(COUNTBLANK(E20)=1,0,COUNTA($E$15:E20)))</f>
        <v>0</v>
      </c>
      <c r="B20" s="25">
        <f t="shared" si="0"/>
        <v>0</v>
      </c>
      <c r="C20" s="249" t="str">
        <f>'6a'!C2:I2</f>
        <v>COKOLA APDARE</v>
      </c>
      <c r="D20" s="250"/>
      <c r="E20" s="61">
        <f>'6a'!P325</f>
        <v>0</v>
      </c>
      <c r="F20" s="46">
        <f>'6a'!M325</f>
        <v>0</v>
      </c>
      <c r="G20" s="57">
        <f>'6a'!N325</f>
        <v>0</v>
      </c>
      <c r="H20" s="57">
        <f>'6a'!O325</f>
        <v>0</v>
      </c>
      <c r="I20" s="58">
        <f>'6a'!L325</f>
        <v>0</v>
      </c>
    </row>
    <row r="21" spans="1:9" x14ac:dyDescent="0.2">
      <c r="A21" s="76">
        <f>IF(E21=0,0,IF(COUNTBLANK(E21)=1,0,COUNTA($E$15:E21)))</f>
        <v>0</v>
      </c>
      <c r="B21" s="25">
        <f t="shared" si="0"/>
        <v>0</v>
      </c>
      <c r="C21" s="249" t="str">
        <f>'7a'!C2:I2</f>
        <v>JUMTA REMONTS</v>
      </c>
      <c r="D21" s="250"/>
      <c r="E21" s="61">
        <f>'7a'!P167</f>
        <v>0</v>
      </c>
      <c r="F21" s="46">
        <f>'7a'!M167</f>
        <v>0</v>
      </c>
      <c r="G21" s="57">
        <f>'7a'!N167</f>
        <v>0</v>
      </c>
      <c r="H21" s="57">
        <f>'7a'!O167</f>
        <v>0</v>
      </c>
      <c r="I21" s="58">
        <f>'7a'!L167</f>
        <v>0</v>
      </c>
    </row>
    <row r="22" spans="1:9" ht="23.25" customHeight="1" x14ac:dyDescent="0.2">
      <c r="A22" s="76">
        <f>IF(E22=0,0,IF(COUNTBLANK(E22)=1,0,COUNTA($E$15:E22)))</f>
        <v>0</v>
      </c>
      <c r="B22" s="25">
        <f t="shared" si="0"/>
        <v>0</v>
      </c>
      <c r="C22" s="251" t="str">
        <f>'8a'!C2:I2</f>
        <v>LOGU APDARE, LODŽIJU APDARE, KĀPŅU TELPAS REMONTDARBI, LOKĀLA FASĀDES APDARE</v>
      </c>
      <c r="D22" s="252"/>
      <c r="E22" s="196">
        <f>'8a'!P320</f>
        <v>0</v>
      </c>
      <c r="F22" s="46">
        <f>'8a'!M320</f>
        <v>0</v>
      </c>
      <c r="G22" s="57">
        <f>'8a'!N320</f>
        <v>0</v>
      </c>
      <c r="H22" s="57">
        <f>'8a'!O320</f>
        <v>0</v>
      </c>
      <c r="I22" s="58">
        <f>'8a'!L320</f>
        <v>0</v>
      </c>
    </row>
    <row r="23" spans="1:9" x14ac:dyDescent="0.2">
      <c r="A23" s="76">
        <f>IF(E23=0,0,IF(COUNTBLANK(E23)=1,0,COUNTA($E$15:E23)))</f>
        <v>0</v>
      </c>
      <c r="B23" s="25">
        <f t="shared" ref="B23" si="1">IF(A23=0,0,CONCATENATE("Lt-",A23))</f>
        <v>0</v>
      </c>
      <c r="C23" s="249" t="str">
        <f>'9a'!C2:I2</f>
        <v>BĒNIŅU SILTINĀŠANA</v>
      </c>
      <c r="D23" s="250"/>
      <c r="E23" s="61">
        <f>'9a'!P88</f>
        <v>0</v>
      </c>
      <c r="F23" s="46">
        <f>'9a'!M28</f>
        <v>0</v>
      </c>
      <c r="G23" s="57">
        <f>'9a'!N28</f>
        <v>0</v>
      </c>
      <c r="H23" s="57">
        <f>'9a'!O28</f>
        <v>0</v>
      </c>
      <c r="I23" s="58">
        <f>'9a'!L28</f>
        <v>0</v>
      </c>
    </row>
    <row r="24" spans="1:9" x14ac:dyDescent="0.2">
      <c r="A24" s="76">
        <f>IF(E24=0,0,IF(COUNTBLANK(E24)=1,0,COUNTA($E$15:E24)))</f>
        <v>0</v>
      </c>
      <c r="B24" s="25">
        <f t="shared" si="0"/>
        <v>0</v>
      </c>
      <c r="C24" s="249" t="str">
        <f>'10a'!C2:I2</f>
        <v>LABIEKARTOŠANAS DARBI</v>
      </c>
      <c r="D24" s="250"/>
      <c r="E24" s="61">
        <f>'10a'!P29</f>
        <v>0</v>
      </c>
      <c r="F24" s="46">
        <f>'10a'!M29</f>
        <v>0</v>
      </c>
      <c r="G24" s="57">
        <f>'10a'!N29</f>
        <v>0</v>
      </c>
      <c r="H24" s="57">
        <f>'10a'!O29</f>
        <v>0</v>
      </c>
      <c r="I24" s="58">
        <f>'10a'!L29</f>
        <v>0</v>
      </c>
    </row>
    <row r="25" spans="1:9" x14ac:dyDescent="0.2">
      <c r="A25" s="76">
        <f>IF(E25=0,0,IF(COUNTBLANK(E25)=1,0,COUNTA($E$15:E25)))</f>
        <v>0</v>
      </c>
      <c r="B25" s="25">
        <f t="shared" si="0"/>
        <v>0</v>
      </c>
      <c r="C25" s="249" t="str">
        <f>'11a'!C2:I2</f>
        <v>LIFTA PIEGĀDE UN MONTĀŽA</v>
      </c>
      <c r="D25" s="250"/>
      <c r="E25" s="61">
        <f>'11a'!P18</f>
        <v>0</v>
      </c>
      <c r="F25" s="46">
        <f>'11a'!M18</f>
        <v>0</v>
      </c>
      <c r="G25" s="57">
        <f>'11a'!N18</f>
        <v>0</v>
      </c>
      <c r="H25" s="57">
        <f>'11a'!O18</f>
        <v>0</v>
      </c>
      <c r="I25" s="58">
        <f>'11a'!L18</f>
        <v>0</v>
      </c>
    </row>
    <row r="26" spans="1:9" ht="11.25" customHeight="1" x14ac:dyDescent="0.2">
      <c r="A26" s="76">
        <f>IF(E26=0,0,IF(COUNTBLANK(E26)=1,0,COUNTA($E$15:E26)))</f>
        <v>0</v>
      </c>
      <c r="B26" s="25">
        <f t="shared" si="0"/>
        <v>0</v>
      </c>
      <c r="C26" s="249" t="str">
        <f>'12a'!C2:I2</f>
        <v>APKURE</v>
      </c>
      <c r="D26" s="250"/>
      <c r="E26" s="61">
        <f>'12a'!P101</f>
        <v>0</v>
      </c>
      <c r="F26" s="46">
        <f>'12a'!M101</f>
        <v>0</v>
      </c>
      <c r="G26" s="57">
        <f>'12a'!N101</f>
        <v>0</v>
      </c>
      <c r="H26" s="57">
        <f>'12a'!O101</f>
        <v>0</v>
      </c>
      <c r="I26" s="58">
        <f>'12a'!L101</f>
        <v>0</v>
      </c>
    </row>
    <row r="27" spans="1:9" ht="10.8" thickBot="1" x14ac:dyDescent="0.25">
      <c r="A27" s="76">
        <f>IF(E27=0,0,IF(COUNTBLANK(E27)=1,0,COUNTA($E$15:E27)))</f>
        <v>0</v>
      </c>
      <c r="B27" s="25">
        <f t="shared" si="0"/>
        <v>0</v>
      </c>
      <c r="C27" s="249" t="str">
        <f>'13a'!C2:I2</f>
        <v>ZIBENSAIZSARDZĪBA</v>
      </c>
      <c r="D27" s="250"/>
      <c r="E27" s="61">
        <f>'13a'!P40</f>
        <v>0</v>
      </c>
      <c r="F27" s="46">
        <f>'13a'!M40</f>
        <v>0</v>
      </c>
      <c r="G27" s="57">
        <f>'13a'!N40</f>
        <v>0</v>
      </c>
      <c r="H27" s="57">
        <f>'13a'!O40</f>
        <v>0</v>
      </c>
      <c r="I27" s="58">
        <f>'13a'!L40</f>
        <v>0</v>
      </c>
    </row>
    <row r="28" spans="1:9" ht="10.8" thickBot="1" x14ac:dyDescent="0.25">
      <c r="A28" s="253" t="s">
        <v>32</v>
      </c>
      <c r="B28" s="254"/>
      <c r="C28" s="254"/>
      <c r="D28" s="254"/>
      <c r="E28" s="41">
        <f>SUM(E15:E27)</f>
        <v>0</v>
      </c>
      <c r="F28" s="40">
        <f>SUM(F15:F27)</f>
        <v>0</v>
      </c>
      <c r="G28" s="40">
        <f>SUM(G15:G27)</f>
        <v>0</v>
      </c>
      <c r="H28" s="40">
        <f>SUM(H15:H27)</f>
        <v>0</v>
      </c>
      <c r="I28" s="41">
        <f>SUM(I15:I27)</f>
        <v>0</v>
      </c>
    </row>
    <row r="29" spans="1:9" x14ac:dyDescent="0.2">
      <c r="A29" s="255" t="s">
        <v>33</v>
      </c>
      <c r="B29" s="256"/>
      <c r="C29" s="257"/>
      <c r="D29" s="72"/>
      <c r="E29" s="42">
        <f>ROUND(E28*$D29,2)</f>
        <v>0</v>
      </c>
      <c r="F29" s="43"/>
      <c r="G29" s="43"/>
      <c r="H29" s="43"/>
      <c r="I29" s="43"/>
    </row>
    <row r="30" spans="1:9" x14ac:dyDescent="0.2">
      <c r="A30" s="258" t="s">
        <v>34</v>
      </c>
      <c r="B30" s="259"/>
      <c r="C30" s="260"/>
      <c r="D30" s="73"/>
      <c r="E30" s="44">
        <f>ROUND(E29*$D30,2)</f>
        <v>0</v>
      </c>
      <c r="F30" s="43"/>
      <c r="G30" s="43"/>
      <c r="H30" s="43"/>
      <c r="I30" s="43"/>
    </row>
    <row r="31" spans="1:9" x14ac:dyDescent="0.2">
      <c r="A31" s="261" t="s">
        <v>35</v>
      </c>
      <c r="B31" s="262"/>
      <c r="C31" s="263"/>
      <c r="D31" s="74"/>
      <c r="E31" s="44">
        <f>ROUND(E28*$D31,2)</f>
        <v>0</v>
      </c>
      <c r="F31" s="43"/>
      <c r="G31" s="43"/>
      <c r="H31" s="43"/>
      <c r="I31" s="43"/>
    </row>
    <row r="32" spans="1:9" ht="10.8" thickBot="1" x14ac:dyDescent="0.25">
      <c r="A32" s="264" t="s">
        <v>36</v>
      </c>
      <c r="B32" s="265"/>
      <c r="C32" s="266"/>
      <c r="D32" s="22"/>
      <c r="E32" s="45">
        <f>SUM(E28:E31)-E30</f>
        <v>0</v>
      </c>
      <c r="F32" s="43"/>
      <c r="G32" s="43"/>
      <c r="H32" s="43"/>
      <c r="I32" s="43"/>
    </row>
    <row r="33" spans="1:9" x14ac:dyDescent="0.2">
      <c r="G33" s="21"/>
    </row>
    <row r="34" spans="1:9" x14ac:dyDescent="0.2">
      <c r="C34" s="17"/>
      <c r="D34" s="17"/>
      <c r="E34" s="17"/>
      <c r="F34" s="23"/>
      <c r="G34" s="23"/>
      <c r="H34" s="23"/>
      <c r="I34" s="23"/>
    </row>
    <row r="37" spans="1:9" ht="11.25" customHeight="1" x14ac:dyDescent="0.2">
      <c r="A37" s="1" t="s">
        <v>14</v>
      </c>
      <c r="B37" s="17"/>
      <c r="C37" s="224"/>
      <c r="D37" s="224"/>
      <c r="E37" s="224"/>
      <c r="F37" s="224"/>
      <c r="G37" s="224"/>
      <c r="H37" s="224"/>
    </row>
    <row r="38" spans="1:9" x14ac:dyDescent="0.2">
      <c r="A38" s="17"/>
      <c r="B38" s="17"/>
      <c r="C38" s="219" t="s">
        <v>15</v>
      </c>
      <c r="D38" s="219"/>
      <c r="E38" s="219"/>
      <c r="F38" s="219"/>
      <c r="G38" s="219"/>
      <c r="H38" s="219"/>
    </row>
    <row r="39" spans="1:9" x14ac:dyDescent="0.2">
      <c r="A39" s="17"/>
      <c r="B39" s="17"/>
      <c r="C39" s="17"/>
      <c r="D39" s="17"/>
      <c r="E39" s="17"/>
      <c r="F39" s="17"/>
      <c r="G39" s="17"/>
      <c r="H39" s="17"/>
    </row>
    <row r="40" spans="1:9" x14ac:dyDescent="0.2">
      <c r="A40" s="88" t="str">
        <f>'Kopt a'!A36</f>
        <v xml:space="preserve">Tāme sastādīta </v>
      </c>
      <c r="B40" s="89"/>
      <c r="C40" s="89"/>
      <c r="D40" s="89"/>
      <c r="F40" s="17"/>
      <c r="G40" s="17"/>
      <c r="H40" s="17"/>
    </row>
    <row r="41" spans="1:9" x14ac:dyDescent="0.2">
      <c r="A41" s="17"/>
      <c r="B41" s="17"/>
      <c r="C41" s="17"/>
      <c r="D41" s="17"/>
      <c r="E41" s="17"/>
      <c r="F41" s="17"/>
      <c r="G41" s="17"/>
      <c r="H41" s="17"/>
    </row>
    <row r="42" spans="1:9" x14ac:dyDescent="0.2">
      <c r="A42" s="1" t="s">
        <v>37</v>
      </c>
      <c r="B42" s="17"/>
      <c r="C42" s="224"/>
      <c r="D42" s="224"/>
      <c r="E42" s="224"/>
      <c r="F42" s="224"/>
      <c r="G42" s="224"/>
      <c r="H42" s="224"/>
    </row>
    <row r="43" spans="1:9" x14ac:dyDescent="0.2">
      <c r="A43" s="17"/>
      <c r="B43" s="17"/>
      <c r="C43" s="219" t="s">
        <v>15</v>
      </c>
      <c r="D43" s="219"/>
      <c r="E43" s="219"/>
      <c r="F43" s="219"/>
      <c r="G43" s="219"/>
      <c r="H43" s="219"/>
    </row>
    <row r="44" spans="1:9" x14ac:dyDescent="0.2">
      <c r="A44" s="17"/>
      <c r="B44" s="17"/>
      <c r="C44" s="17"/>
      <c r="D44" s="17"/>
      <c r="E44" s="17"/>
      <c r="F44" s="17"/>
      <c r="G44" s="17"/>
      <c r="H44" s="17"/>
    </row>
    <row r="45" spans="1:9" x14ac:dyDescent="0.2">
      <c r="A45" s="88" t="s">
        <v>53</v>
      </c>
      <c r="B45" s="89"/>
      <c r="C45" s="94"/>
      <c r="D45" s="89"/>
      <c r="F45" s="17"/>
      <c r="G45" s="17"/>
      <c r="H45" s="17"/>
    </row>
    <row r="55" spans="5:9" x14ac:dyDescent="0.2">
      <c r="E55" s="21"/>
      <c r="F55" s="21"/>
      <c r="G55" s="21"/>
      <c r="H55" s="21"/>
      <c r="I55" s="21"/>
    </row>
  </sheetData>
  <mergeCells count="42">
    <mergeCell ref="C37:H37"/>
    <mergeCell ref="C38:H38"/>
    <mergeCell ref="C42:H42"/>
    <mergeCell ref="C43:H43"/>
    <mergeCell ref="A28:D28"/>
    <mergeCell ref="A29:C29"/>
    <mergeCell ref="A30:C30"/>
    <mergeCell ref="A31:C31"/>
    <mergeCell ref="A32:C32"/>
    <mergeCell ref="C15:D15"/>
    <mergeCell ref="C16:D16"/>
    <mergeCell ref="C17:D17"/>
    <mergeCell ref="C18:D18"/>
    <mergeCell ref="C27:D27"/>
    <mergeCell ref="C20:D20"/>
    <mergeCell ref="C19:D19"/>
    <mergeCell ref="C21:D21"/>
    <mergeCell ref="C22:D22"/>
    <mergeCell ref="C24:D24"/>
    <mergeCell ref="C25:D25"/>
    <mergeCell ref="C26:D26"/>
    <mergeCell ref="C23:D23"/>
    <mergeCell ref="F13:H13"/>
    <mergeCell ref="I13:I14"/>
    <mergeCell ref="A8:C8"/>
    <mergeCell ref="D8:I8"/>
    <mergeCell ref="A9:C9"/>
    <mergeCell ref="D9:I9"/>
    <mergeCell ref="D10:E10"/>
    <mergeCell ref="D11:E11"/>
    <mergeCell ref="E13:E14"/>
    <mergeCell ref="A13:A14"/>
    <mergeCell ref="B13:B14"/>
    <mergeCell ref="C13:D14"/>
    <mergeCell ref="A7:C7"/>
    <mergeCell ref="D7:I7"/>
    <mergeCell ref="G1:I1"/>
    <mergeCell ref="A2:I2"/>
    <mergeCell ref="C4:I4"/>
    <mergeCell ref="A6:C6"/>
    <mergeCell ref="D6:I6"/>
    <mergeCell ref="C5:I5"/>
  </mergeCells>
  <conditionalFormatting sqref="E28:I28">
    <cfRule type="cellIs" dxfId="362" priority="20" operator="equal">
      <formula>0</formula>
    </cfRule>
  </conditionalFormatting>
  <conditionalFormatting sqref="D10:E11">
    <cfRule type="cellIs" dxfId="361" priority="19" operator="equal">
      <formula>0</formula>
    </cfRule>
  </conditionalFormatting>
  <conditionalFormatting sqref="E15 C15:D22 E29:E32 C24:D27 I15:I27">
    <cfRule type="cellIs" dxfId="360" priority="17" operator="equal">
      <formula>0</formula>
    </cfRule>
  </conditionalFormatting>
  <conditionalFormatting sqref="D29:D31">
    <cfRule type="cellIs" dxfId="359" priority="15" operator="equal">
      <formula>0</formula>
    </cfRule>
  </conditionalFormatting>
  <conditionalFormatting sqref="C42:H42">
    <cfRule type="cellIs" dxfId="358" priority="12" operator="equal">
      <formula>0</formula>
    </cfRule>
  </conditionalFormatting>
  <conditionalFormatting sqref="C37:H37">
    <cfRule type="cellIs" dxfId="357" priority="11" operator="equal">
      <formula>0</formula>
    </cfRule>
  </conditionalFormatting>
  <conditionalFormatting sqref="E15:E27">
    <cfRule type="cellIs" dxfId="356" priority="9" operator="equal">
      <formula>0</formula>
    </cfRule>
  </conditionalFormatting>
  <conditionalFormatting sqref="F15:I27">
    <cfRule type="cellIs" dxfId="355" priority="8" operator="equal">
      <formula>0</formula>
    </cfRule>
  </conditionalFormatting>
  <conditionalFormatting sqref="D6:I9">
    <cfRule type="cellIs" dxfId="354" priority="7" operator="equal">
      <formula>0</formula>
    </cfRule>
  </conditionalFormatting>
  <conditionalFormatting sqref="C45">
    <cfRule type="cellIs" dxfId="353" priority="5" operator="equal">
      <formula>0</formula>
    </cfRule>
  </conditionalFormatting>
  <conditionalFormatting sqref="B15:B27">
    <cfRule type="cellIs" dxfId="352" priority="4" operator="equal">
      <formula>0</formula>
    </cfRule>
  </conditionalFormatting>
  <conditionalFormatting sqref="A15:A27">
    <cfRule type="cellIs" dxfId="351" priority="2" operator="equal">
      <formula>0</formula>
    </cfRule>
  </conditionalFormatting>
  <conditionalFormatting sqref="C23:D23">
    <cfRule type="cellIs" dxfId="350" priority="1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" operator="containsText" id="{12AB918F-DA10-40D3-98FE-0DAD77BA765F}">
            <xm:f>NOT(ISERROR(SEARCH("Tāme sastādīta ____. gada ___. ______________",A40)))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A40</xm:sqref>
        </x14:conditionalFormatting>
        <x14:conditionalFormatting xmlns:xm="http://schemas.microsoft.com/office/excel/2006/main">
          <x14:cfRule type="containsText" priority="10" operator="containsText" id="{B0E18B02-73ED-406C-A15F-5DAFFA939ECE}">
            <xm:f>NOT(ISERROR(SEARCH("Sertifikāta Nr. _________________________________",A45)))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47"/>
  <sheetViews>
    <sheetView tabSelected="1" workbookViewId="0">
      <selection activeCell="A9" sqref="A9:F9"/>
    </sheetView>
  </sheetViews>
  <sheetFormatPr defaultColWidth="9.109375" defaultRowHeight="10.199999999999999" x14ac:dyDescent="0.2"/>
  <cols>
    <col min="1" max="1" width="4.5546875" style="1" customWidth="1"/>
    <col min="2" max="2" width="9.44140625" style="1" bestFit="1" customWidth="1"/>
    <col min="3" max="3" width="38.44140625" style="1" customWidth="1"/>
    <col min="4" max="4" width="7.44140625" style="1" customWidth="1"/>
    <col min="5" max="5" width="8.6640625" style="1" customWidth="1"/>
    <col min="6" max="6" width="5.44140625" style="1" customWidth="1"/>
    <col min="7" max="7" width="4.88671875" style="1" customWidth="1"/>
    <col min="8" max="9" width="6.6640625" style="1" customWidth="1"/>
    <col min="10" max="11" width="7.88671875" style="1" bestFit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1">
        <f>'Kops a'!A15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267" t="s">
        <v>58</v>
      </c>
      <c r="D2" s="267"/>
      <c r="E2" s="267"/>
      <c r="F2" s="267"/>
      <c r="G2" s="267"/>
      <c r="H2" s="267"/>
      <c r="I2" s="267"/>
      <c r="J2" s="29"/>
    </row>
    <row r="3" spans="1:16" x14ac:dyDescent="0.2">
      <c r="A3" s="30"/>
      <c r="B3" s="30"/>
      <c r="C3" s="228" t="s">
        <v>17</v>
      </c>
      <c r="D3" s="228"/>
      <c r="E3" s="228"/>
      <c r="F3" s="228"/>
      <c r="G3" s="228"/>
      <c r="H3" s="228"/>
      <c r="I3" s="228"/>
      <c r="J3" s="30"/>
    </row>
    <row r="4" spans="1:16" x14ac:dyDescent="0.2">
      <c r="A4" s="30"/>
      <c r="B4" s="30"/>
      <c r="C4" s="268" t="s">
        <v>52</v>
      </c>
      <c r="D4" s="268"/>
      <c r="E4" s="268"/>
      <c r="F4" s="268"/>
      <c r="G4" s="268"/>
      <c r="H4" s="268"/>
      <c r="I4" s="268"/>
      <c r="J4" s="30"/>
    </row>
    <row r="5" spans="1:16" ht="11.25" customHeight="1" x14ac:dyDescent="0.2">
      <c r="A5" s="23"/>
      <c r="B5" s="23"/>
      <c r="C5" s="27" t="s">
        <v>5</v>
      </c>
      <c r="D5" s="281" t="str">
        <f>'Kops a'!D6</f>
        <v>DAUDZDZĪVOKĻU DZĪVOJAMĀ ĒKA</v>
      </c>
      <c r="E5" s="281"/>
      <c r="F5" s="281"/>
      <c r="G5" s="281"/>
      <c r="H5" s="281"/>
      <c r="I5" s="281"/>
      <c r="J5" s="281"/>
      <c r="K5" s="281"/>
      <c r="L5" s="281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281" t="str">
        <f>'Kops a'!D7</f>
        <v>ENERGOEFEKTIVITĀTES PAAUGSTINĀŠANA DAUDZDZĪVOKĻU DZĪVOJAMAI ĒKAI</v>
      </c>
      <c r="E6" s="281"/>
      <c r="F6" s="281"/>
      <c r="G6" s="281"/>
      <c r="H6" s="281"/>
      <c r="I6" s="281"/>
      <c r="J6" s="281"/>
      <c r="K6" s="281"/>
      <c r="L6" s="281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281" t="str">
        <f>'Kops a'!D8</f>
        <v>Pasta iela 34, Jelgava, ēkas kad. apz. 0900 001 0177 001</v>
      </c>
      <c r="E7" s="281"/>
      <c r="F7" s="281"/>
      <c r="G7" s="281"/>
      <c r="H7" s="281"/>
      <c r="I7" s="281"/>
      <c r="J7" s="281"/>
      <c r="K7" s="281"/>
      <c r="L7" s="281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281">
        <f>'Kops a'!D9</f>
        <v>0</v>
      </c>
      <c r="E8" s="281"/>
      <c r="F8" s="281"/>
      <c r="G8" s="281"/>
      <c r="H8" s="281"/>
      <c r="I8" s="281"/>
      <c r="J8" s="281"/>
      <c r="K8" s="281"/>
      <c r="L8" s="281"/>
      <c r="M8" s="17"/>
      <c r="N8" s="17"/>
      <c r="O8" s="17"/>
      <c r="P8" s="17"/>
    </row>
    <row r="9" spans="1:16" ht="11.25" customHeight="1" x14ac:dyDescent="0.2">
      <c r="A9" s="269" t="s">
        <v>702</v>
      </c>
      <c r="B9" s="269"/>
      <c r="C9" s="269"/>
      <c r="D9" s="269"/>
      <c r="E9" s="269"/>
      <c r="F9" s="269"/>
      <c r="G9" s="31"/>
      <c r="H9" s="31"/>
      <c r="I9" s="31"/>
      <c r="J9" s="273" t="s">
        <v>39</v>
      </c>
      <c r="K9" s="273"/>
      <c r="L9" s="273"/>
      <c r="M9" s="273"/>
      <c r="N9" s="280">
        <f>P35</f>
        <v>0</v>
      </c>
      <c r="O9" s="280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2"/>
      <c r="P10" s="90" t="str">
        <f>A41</f>
        <v xml:space="preserve">Tāme sastādīta 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239" t="s">
        <v>23</v>
      </c>
      <c r="B12" s="275" t="s">
        <v>40</v>
      </c>
      <c r="C12" s="271" t="s">
        <v>41</v>
      </c>
      <c r="D12" s="278" t="s">
        <v>42</v>
      </c>
      <c r="E12" s="282" t="s">
        <v>43</v>
      </c>
      <c r="F12" s="270" t="s">
        <v>44</v>
      </c>
      <c r="G12" s="271"/>
      <c r="H12" s="271"/>
      <c r="I12" s="271"/>
      <c r="J12" s="271"/>
      <c r="K12" s="272"/>
      <c r="L12" s="270" t="s">
        <v>45</v>
      </c>
      <c r="M12" s="271"/>
      <c r="N12" s="271"/>
      <c r="O12" s="271"/>
      <c r="P12" s="272"/>
    </row>
    <row r="13" spans="1:16" ht="126.75" customHeight="1" thickBot="1" x14ac:dyDescent="0.25">
      <c r="A13" s="274"/>
      <c r="B13" s="276"/>
      <c r="C13" s="277"/>
      <c r="D13" s="279"/>
      <c r="E13" s="283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ht="13.2" x14ac:dyDescent="0.2">
      <c r="A14" s="63"/>
      <c r="B14" s="64"/>
      <c r="C14" s="96" t="s">
        <v>59</v>
      </c>
      <c r="D14" s="65"/>
      <c r="E14" s="67"/>
      <c r="F14" s="68"/>
      <c r="G14" s="66"/>
      <c r="H14" s="66">
        <f>ROUND(F14*G14,2)</f>
        <v>0</v>
      </c>
      <c r="I14" s="66"/>
      <c r="J14" s="66"/>
      <c r="K14" s="178">
        <f>SUM(H14:J14)</f>
        <v>0</v>
      </c>
      <c r="L14" s="181">
        <f>ROUND(E14*F14,2)</f>
        <v>0</v>
      </c>
      <c r="M14" s="182">
        <f>ROUND(H14*E14,2)</f>
        <v>0</v>
      </c>
      <c r="N14" s="182">
        <f>ROUND(I14*E14,2)</f>
        <v>0</v>
      </c>
      <c r="O14" s="182">
        <f>ROUND(J14*E14,2)</f>
        <v>0</v>
      </c>
      <c r="P14" s="183">
        <f>SUM(M14:O14)</f>
        <v>0</v>
      </c>
    </row>
    <row r="15" spans="1:16" ht="13.2" x14ac:dyDescent="0.2">
      <c r="A15" s="115">
        <v>1</v>
      </c>
      <c r="B15" s="116" t="s">
        <v>60</v>
      </c>
      <c r="C15" s="117" t="s">
        <v>61</v>
      </c>
      <c r="D15" s="118" t="s">
        <v>62</v>
      </c>
      <c r="E15" s="119">
        <v>206</v>
      </c>
      <c r="F15" s="120"/>
      <c r="G15" s="121"/>
      <c r="H15" s="122">
        <f>ROUND(F15*G15,2)</f>
        <v>0</v>
      </c>
      <c r="I15" s="121"/>
      <c r="J15" s="121"/>
      <c r="K15" s="179">
        <f t="shared" ref="K15:K27" si="0">ROUND(H15+J15+I15,2)</f>
        <v>0</v>
      </c>
      <c r="L15" s="184">
        <f t="shared" ref="L15:L27" si="1">ROUND(E15*F15,2)</f>
        <v>0</v>
      </c>
      <c r="M15" s="121">
        <f t="shared" ref="M15:M27" si="2">ROUND(E15*H15,2)</f>
        <v>0</v>
      </c>
      <c r="N15" s="121">
        <f t="shared" ref="N15:N27" si="3">ROUND(E15*I15,2)</f>
        <v>0</v>
      </c>
      <c r="O15" s="121">
        <f t="shared" ref="O15:O27" si="4">ROUND(E15*J15,2)</f>
        <v>0</v>
      </c>
      <c r="P15" s="123">
        <f t="shared" ref="P15:P27" si="5">ROUND(O15+N15+M15,2)</f>
        <v>0</v>
      </c>
    </row>
    <row r="16" spans="1:16" ht="13.2" x14ac:dyDescent="0.2">
      <c r="A16" s="115">
        <v>2</v>
      </c>
      <c r="B16" s="116" t="s">
        <v>60</v>
      </c>
      <c r="C16" s="117" t="s">
        <v>157</v>
      </c>
      <c r="D16" s="118" t="s">
        <v>68</v>
      </c>
      <c r="E16" s="119">
        <v>1</v>
      </c>
      <c r="F16" s="120"/>
      <c r="G16" s="121"/>
      <c r="H16" s="122">
        <f>ROUND(F16*G16,2)</f>
        <v>0</v>
      </c>
      <c r="I16" s="121"/>
      <c r="J16" s="121"/>
      <c r="K16" s="179">
        <f t="shared" si="0"/>
        <v>0</v>
      </c>
      <c r="L16" s="184">
        <f t="shared" si="1"/>
        <v>0</v>
      </c>
      <c r="M16" s="121">
        <f t="shared" si="2"/>
        <v>0</v>
      </c>
      <c r="N16" s="121">
        <f t="shared" si="3"/>
        <v>0</v>
      </c>
      <c r="O16" s="121">
        <f t="shared" si="4"/>
        <v>0</v>
      </c>
      <c r="P16" s="123">
        <f t="shared" si="5"/>
        <v>0</v>
      </c>
    </row>
    <row r="17" spans="1:20" ht="13.2" x14ac:dyDescent="0.2">
      <c r="A17" s="115">
        <v>3</v>
      </c>
      <c r="B17" s="116" t="s">
        <v>60</v>
      </c>
      <c r="C17" s="124" t="s">
        <v>63</v>
      </c>
      <c r="D17" s="118" t="s">
        <v>64</v>
      </c>
      <c r="E17" s="119">
        <v>1</v>
      </c>
      <c r="F17" s="120"/>
      <c r="G17" s="121"/>
      <c r="H17" s="122">
        <f t="shared" ref="H17:H27" si="6">ROUND(F17*G17,2)</f>
        <v>0</v>
      </c>
      <c r="I17" s="121"/>
      <c r="J17" s="121"/>
      <c r="K17" s="179">
        <f t="shared" si="0"/>
        <v>0</v>
      </c>
      <c r="L17" s="184">
        <f t="shared" si="1"/>
        <v>0</v>
      </c>
      <c r="M17" s="121">
        <f t="shared" si="2"/>
        <v>0</v>
      </c>
      <c r="N17" s="121">
        <f t="shared" si="3"/>
        <v>0</v>
      </c>
      <c r="O17" s="121">
        <f t="shared" si="4"/>
        <v>0</v>
      </c>
      <c r="P17" s="123">
        <f t="shared" si="5"/>
        <v>0</v>
      </c>
    </row>
    <row r="18" spans="1:20" ht="13.2" x14ac:dyDescent="0.2">
      <c r="A18" s="115">
        <v>4</v>
      </c>
      <c r="B18" s="116" t="s">
        <v>60</v>
      </c>
      <c r="C18" s="124" t="s">
        <v>65</v>
      </c>
      <c r="D18" s="118" t="s">
        <v>64</v>
      </c>
      <c r="E18" s="119">
        <v>1</v>
      </c>
      <c r="F18" s="120"/>
      <c r="G18" s="121"/>
      <c r="H18" s="122">
        <f t="shared" si="6"/>
        <v>0</v>
      </c>
      <c r="I18" s="121"/>
      <c r="J18" s="121"/>
      <c r="K18" s="179">
        <f t="shared" si="0"/>
        <v>0</v>
      </c>
      <c r="L18" s="184">
        <f t="shared" si="1"/>
        <v>0</v>
      </c>
      <c r="M18" s="121">
        <f t="shared" si="2"/>
        <v>0</v>
      </c>
      <c r="N18" s="121">
        <f t="shared" si="3"/>
        <v>0</v>
      </c>
      <c r="O18" s="121">
        <f t="shared" si="4"/>
        <v>0</v>
      </c>
      <c r="P18" s="123">
        <f t="shared" si="5"/>
        <v>0</v>
      </c>
    </row>
    <row r="19" spans="1:20" ht="13.2" x14ac:dyDescent="0.2">
      <c r="A19" s="115">
        <v>5</v>
      </c>
      <c r="B19" s="116" t="s">
        <v>60</v>
      </c>
      <c r="C19" s="124" t="s">
        <v>66</v>
      </c>
      <c r="D19" s="118" t="s">
        <v>64</v>
      </c>
      <c r="E19" s="119">
        <v>1</v>
      </c>
      <c r="F19" s="120"/>
      <c r="G19" s="121"/>
      <c r="H19" s="122">
        <f t="shared" si="6"/>
        <v>0</v>
      </c>
      <c r="I19" s="121"/>
      <c r="J19" s="121"/>
      <c r="K19" s="179">
        <f t="shared" si="0"/>
        <v>0</v>
      </c>
      <c r="L19" s="184">
        <f t="shared" si="1"/>
        <v>0</v>
      </c>
      <c r="M19" s="121">
        <f t="shared" si="2"/>
        <v>0</v>
      </c>
      <c r="N19" s="121">
        <f t="shared" si="3"/>
        <v>0</v>
      </c>
      <c r="O19" s="121">
        <f t="shared" si="4"/>
        <v>0</v>
      </c>
      <c r="P19" s="123">
        <f t="shared" si="5"/>
        <v>0</v>
      </c>
    </row>
    <row r="20" spans="1:20" ht="13.2" x14ac:dyDescent="0.2">
      <c r="A20" s="115">
        <v>6</v>
      </c>
      <c r="B20" s="116" t="s">
        <v>60</v>
      </c>
      <c r="C20" s="124" t="s">
        <v>67</v>
      </c>
      <c r="D20" s="118" t="s">
        <v>68</v>
      </c>
      <c r="E20" s="119">
        <v>2</v>
      </c>
      <c r="F20" s="120"/>
      <c r="G20" s="121"/>
      <c r="H20" s="122">
        <f t="shared" si="6"/>
        <v>0</v>
      </c>
      <c r="I20" s="121"/>
      <c r="J20" s="121"/>
      <c r="K20" s="179">
        <f t="shared" si="0"/>
        <v>0</v>
      </c>
      <c r="L20" s="184">
        <f t="shared" si="1"/>
        <v>0</v>
      </c>
      <c r="M20" s="121">
        <f t="shared" si="2"/>
        <v>0</v>
      </c>
      <c r="N20" s="121">
        <f t="shared" si="3"/>
        <v>0</v>
      </c>
      <c r="O20" s="121">
        <f t="shared" si="4"/>
        <v>0</v>
      </c>
      <c r="P20" s="123">
        <f t="shared" si="5"/>
        <v>0</v>
      </c>
    </row>
    <row r="21" spans="1:20" ht="13.2" x14ac:dyDescent="0.2">
      <c r="A21" s="115">
        <v>7</v>
      </c>
      <c r="B21" s="116" t="s">
        <v>60</v>
      </c>
      <c r="C21" s="124" t="s">
        <v>69</v>
      </c>
      <c r="D21" s="118" t="s">
        <v>68</v>
      </c>
      <c r="E21" s="119">
        <v>1</v>
      </c>
      <c r="F21" s="120"/>
      <c r="G21" s="121"/>
      <c r="H21" s="122">
        <f t="shared" si="6"/>
        <v>0</v>
      </c>
      <c r="I21" s="121"/>
      <c r="J21" s="121"/>
      <c r="K21" s="179">
        <f t="shared" si="0"/>
        <v>0</v>
      </c>
      <c r="L21" s="184">
        <f t="shared" si="1"/>
        <v>0</v>
      </c>
      <c r="M21" s="121">
        <f t="shared" si="2"/>
        <v>0</v>
      </c>
      <c r="N21" s="121">
        <f t="shared" si="3"/>
        <v>0</v>
      </c>
      <c r="O21" s="121">
        <f t="shared" si="4"/>
        <v>0</v>
      </c>
      <c r="P21" s="123">
        <f t="shared" si="5"/>
        <v>0</v>
      </c>
    </row>
    <row r="22" spans="1:20" ht="13.2" x14ac:dyDescent="0.2">
      <c r="A22" s="115">
        <v>8</v>
      </c>
      <c r="B22" s="116" t="s">
        <v>60</v>
      </c>
      <c r="C22" s="124" t="s">
        <v>70</v>
      </c>
      <c r="D22" s="118" t="s">
        <v>64</v>
      </c>
      <c r="E22" s="119">
        <v>1</v>
      </c>
      <c r="F22" s="120"/>
      <c r="G22" s="121"/>
      <c r="H22" s="122">
        <f t="shared" si="6"/>
        <v>0</v>
      </c>
      <c r="I22" s="121"/>
      <c r="J22" s="121"/>
      <c r="K22" s="179">
        <f t="shared" si="0"/>
        <v>0</v>
      </c>
      <c r="L22" s="184">
        <f t="shared" si="1"/>
        <v>0</v>
      </c>
      <c r="M22" s="121">
        <f t="shared" si="2"/>
        <v>0</v>
      </c>
      <c r="N22" s="121">
        <f t="shared" si="3"/>
        <v>0</v>
      </c>
      <c r="O22" s="121">
        <f t="shared" si="4"/>
        <v>0</v>
      </c>
      <c r="P22" s="123">
        <f t="shared" si="5"/>
        <v>0</v>
      </c>
    </row>
    <row r="23" spans="1:20" ht="13.2" x14ac:dyDescent="0.2">
      <c r="A23" s="115">
        <v>9</v>
      </c>
      <c r="B23" s="116" t="s">
        <v>60</v>
      </c>
      <c r="C23" s="124" t="s">
        <v>71</v>
      </c>
      <c r="D23" s="118" t="s">
        <v>64</v>
      </c>
      <c r="E23" s="119">
        <v>1</v>
      </c>
      <c r="F23" s="120"/>
      <c r="G23" s="121"/>
      <c r="H23" s="122">
        <f t="shared" si="6"/>
        <v>0</v>
      </c>
      <c r="I23" s="121"/>
      <c r="J23" s="121"/>
      <c r="K23" s="179">
        <f t="shared" si="0"/>
        <v>0</v>
      </c>
      <c r="L23" s="184">
        <f t="shared" si="1"/>
        <v>0</v>
      </c>
      <c r="M23" s="121">
        <f t="shared" si="2"/>
        <v>0</v>
      </c>
      <c r="N23" s="121">
        <f t="shared" si="3"/>
        <v>0</v>
      </c>
      <c r="O23" s="121">
        <f t="shared" si="4"/>
        <v>0</v>
      </c>
      <c r="P23" s="123">
        <f t="shared" si="5"/>
        <v>0</v>
      </c>
    </row>
    <row r="24" spans="1:20" ht="13.2" x14ac:dyDescent="0.2">
      <c r="A24" s="115">
        <v>10</v>
      </c>
      <c r="B24" s="116" t="s">
        <v>60</v>
      </c>
      <c r="C24" s="124" t="s">
        <v>72</v>
      </c>
      <c r="D24" s="118" t="s">
        <v>73</v>
      </c>
      <c r="E24" s="119">
        <v>1</v>
      </c>
      <c r="F24" s="120"/>
      <c r="G24" s="121"/>
      <c r="H24" s="122">
        <f t="shared" si="6"/>
        <v>0</v>
      </c>
      <c r="I24" s="121"/>
      <c r="J24" s="121"/>
      <c r="K24" s="179">
        <f t="shared" si="0"/>
        <v>0</v>
      </c>
      <c r="L24" s="184">
        <f t="shared" si="1"/>
        <v>0</v>
      </c>
      <c r="M24" s="121">
        <f t="shared" si="2"/>
        <v>0</v>
      </c>
      <c r="N24" s="121">
        <f t="shared" si="3"/>
        <v>0</v>
      </c>
      <c r="O24" s="121">
        <f t="shared" si="4"/>
        <v>0</v>
      </c>
      <c r="P24" s="123">
        <f t="shared" si="5"/>
        <v>0</v>
      </c>
    </row>
    <row r="25" spans="1:20" ht="13.2" x14ac:dyDescent="0.2">
      <c r="A25" s="115">
        <v>11</v>
      </c>
      <c r="B25" s="116" t="s">
        <v>60</v>
      </c>
      <c r="C25" s="124" t="s">
        <v>74</v>
      </c>
      <c r="D25" s="118" t="s">
        <v>68</v>
      </c>
      <c r="E25" s="119">
        <v>2</v>
      </c>
      <c r="F25" s="120"/>
      <c r="G25" s="121"/>
      <c r="H25" s="122">
        <f t="shared" si="6"/>
        <v>0</v>
      </c>
      <c r="I25" s="121"/>
      <c r="J25" s="121"/>
      <c r="K25" s="179">
        <f t="shared" si="0"/>
        <v>0</v>
      </c>
      <c r="L25" s="184">
        <f t="shared" si="1"/>
        <v>0</v>
      </c>
      <c r="M25" s="121">
        <f t="shared" si="2"/>
        <v>0</v>
      </c>
      <c r="N25" s="121">
        <f t="shared" si="3"/>
        <v>0</v>
      </c>
      <c r="O25" s="121">
        <f t="shared" si="4"/>
        <v>0</v>
      </c>
      <c r="P25" s="123">
        <f t="shared" si="5"/>
        <v>0</v>
      </c>
    </row>
    <row r="26" spans="1:20" ht="26.4" x14ac:dyDescent="0.2">
      <c r="A26" s="115">
        <v>12</v>
      </c>
      <c r="B26" s="116" t="s">
        <v>60</v>
      </c>
      <c r="C26" s="124" t="s">
        <v>75</v>
      </c>
      <c r="D26" s="118" t="s">
        <v>73</v>
      </c>
      <c r="E26" s="119">
        <v>3706.4</v>
      </c>
      <c r="F26" s="120"/>
      <c r="G26" s="121"/>
      <c r="H26" s="122">
        <f t="shared" si="6"/>
        <v>0</v>
      </c>
      <c r="I26" s="121"/>
      <c r="J26" s="121"/>
      <c r="K26" s="179">
        <f t="shared" si="0"/>
        <v>0</v>
      </c>
      <c r="L26" s="184">
        <f t="shared" si="1"/>
        <v>0</v>
      </c>
      <c r="M26" s="121">
        <f t="shared" si="2"/>
        <v>0</v>
      </c>
      <c r="N26" s="121">
        <f t="shared" si="3"/>
        <v>0</v>
      </c>
      <c r="O26" s="121">
        <f t="shared" si="4"/>
        <v>0</v>
      </c>
      <c r="P26" s="123">
        <f t="shared" si="5"/>
        <v>0</v>
      </c>
    </row>
    <row r="27" spans="1:20" ht="13.2" x14ac:dyDescent="0.2">
      <c r="A27" s="115">
        <v>13</v>
      </c>
      <c r="B27" s="116" t="s">
        <v>60</v>
      </c>
      <c r="C27" s="124" t="s">
        <v>76</v>
      </c>
      <c r="D27" s="118" t="s">
        <v>68</v>
      </c>
      <c r="E27" s="119">
        <v>1</v>
      </c>
      <c r="F27" s="120"/>
      <c r="G27" s="121"/>
      <c r="H27" s="122">
        <f t="shared" si="6"/>
        <v>0</v>
      </c>
      <c r="I27" s="121"/>
      <c r="J27" s="121"/>
      <c r="K27" s="179">
        <f t="shared" si="0"/>
        <v>0</v>
      </c>
      <c r="L27" s="184">
        <f t="shared" si="1"/>
        <v>0</v>
      </c>
      <c r="M27" s="121">
        <f t="shared" si="2"/>
        <v>0</v>
      </c>
      <c r="N27" s="121">
        <f t="shared" si="3"/>
        <v>0</v>
      </c>
      <c r="O27" s="121">
        <f t="shared" si="4"/>
        <v>0</v>
      </c>
      <c r="P27" s="123">
        <f t="shared" si="5"/>
        <v>0</v>
      </c>
    </row>
    <row r="28" spans="1:20" ht="13.2" x14ac:dyDescent="0.2">
      <c r="A28" s="38"/>
      <c r="B28" s="39"/>
      <c r="C28" s="97" t="s">
        <v>77</v>
      </c>
      <c r="D28" s="25"/>
      <c r="E28" s="67"/>
      <c r="F28" s="68"/>
      <c r="G28" s="66"/>
      <c r="H28" s="47">
        <f t="shared" ref="H28" si="7">ROUND(F28*G28,2)</f>
        <v>0</v>
      </c>
      <c r="I28" s="66"/>
      <c r="J28" s="66"/>
      <c r="K28" s="180">
        <f t="shared" ref="K28" si="8">SUM(H28:J28)</f>
        <v>0</v>
      </c>
      <c r="L28" s="49">
        <f t="shared" ref="L28:L34" si="9">ROUND(E28*F28,2)</f>
        <v>0</v>
      </c>
      <c r="M28" s="47">
        <f t="shared" ref="M28" si="10">ROUND(H28*E28,2)</f>
        <v>0</v>
      </c>
      <c r="N28" s="47">
        <f t="shared" ref="N28" si="11">ROUND(I28*E28,2)</f>
        <v>0</v>
      </c>
      <c r="O28" s="47">
        <f t="shared" ref="O28" si="12">ROUND(J28*E28,2)</f>
        <v>0</v>
      </c>
      <c r="P28" s="48">
        <f t="shared" ref="P28" si="13">SUM(M28:O28)</f>
        <v>0</v>
      </c>
    </row>
    <row r="29" spans="1:20" ht="26.4" x14ac:dyDescent="0.2">
      <c r="A29" s="115">
        <v>1</v>
      </c>
      <c r="B29" s="116" t="s">
        <v>60</v>
      </c>
      <c r="C29" s="117" t="s">
        <v>78</v>
      </c>
      <c r="D29" s="118" t="s">
        <v>138</v>
      </c>
      <c r="E29" s="119">
        <v>1</v>
      </c>
      <c r="F29" s="120"/>
      <c r="G29" s="121"/>
      <c r="H29" s="122"/>
      <c r="I29" s="121"/>
      <c r="J29" s="121"/>
      <c r="K29" s="179">
        <f t="shared" ref="K29:K34" si="14">ROUND(H29+J29+I29,2)</f>
        <v>0</v>
      </c>
      <c r="L29" s="184">
        <f t="shared" si="9"/>
        <v>0</v>
      </c>
      <c r="M29" s="121">
        <f t="shared" ref="M29:M34" si="15">ROUND(E29*H29,2)</f>
        <v>0</v>
      </c>
      <c r="N29" s="121">
        <f t="shared" ref="N29:N34" si="16">ROUND(E29*I29,2)</f>
        <v>0</v>
      </c>
      <c r="O29" s="121">
        <f t="shared" ref="O29:O34" si="17">ROUND(E29*J29,2)</f>
        <v>0</v>
      </c>
      <c r="P29" s="123">
        <f t="shared" ref="P29:P34" si="18">ROUND(O29+N29+M29,2)</f>
        <v>0</v>
      </c>
      <c r="Q29" s="148"/>
      <c r="R29" s="148"/>
      <c r="S29" s="148"/>
      <c r="T29" s="148"/>
    </row>
    <row r="30" spans="1:20" ht="13.2" x14ac:dyDescent="0.2">
      <c r="A30" s="115">
        <v>2</v>
      </c>
      <c r="B30" s="116" t="s">
        <v>60</v>
      </c>
      <c r="C30" s="124" t="s">
        <v>79</v>
      </c>
      <c r="D30" s="118" t="s">
        <v>138</v>
      </c>
      <c r="E30" s="119">
        <f>E29</f>
        <v>1</v>
      </c>
      <c r="F30" s="120"/>
      <c r="G30" s="121"/>
      <c r="H30" s="122"/>
      <c r="I30" s="121"/>
      <c r="J30" s="121"/>
      <c r="K30" s="179">
        <f t="shared" si="14"/>
        <v>0</v>
      </c>
      <c r="L30" s="184">
        <f t="shared" si="9"/>
        <v>0</v>
      </c>
      <c r="M30" s="121">
        <f t="shared" si="15"/>
        <v>0</v>
      </c>
      <c r="N30" s="121">
        <f t="shared" si="16"/>
        <v>0</v>
      </c>
      <c r="O30" s="121">
        <f t="shared" si="17"/>
        <v>0</v>
      </c>
      <c r="P30" s="123">
        <f t="shared" si="18"/>
        <v>0</v>
      </c>
      <c r="Q30" s="148"/>
      <c r="R30" s="148"/>
      <c r="S30" s="148"/>
      <c r="T30" s="148"/>
    </row>
    <row r="31" spans="1:20" ht="13.2" x14ac:dyDescent="0.2">
      <c r="A31" s="115">
        <v>3</v>
      </c>
      <c r="B31" s="116" t="s">
        <v>60</v>
      </c>
      <c r="C31" s="124" t="s">
        <v>80</v>
      </c>
      <c r="D31" s="118" t="s">
        <v>138</v>
      </c>
      <c r="E31" s="119">
        <f>E29</f>
        <v>1</v>
      </c>
      <c r="F31" s="120"/>
      <c r="G31" s="121"/>
      <c r="H31" s="122"/>
      <c r="I31" s="121"/>
      <c r="J31" s="121"/>
      <c r="K31" s="179">
        <f t="shared" si="14"/>
        <v>0</v>
      </c>
      <c r="L31" s="184">
        <f t="shared" si="9"/>
        <v>0</v>
      </c>
      <c r="M31" s="121">
        <f t="shared" si="15"/>
        <v>0</v>
      </c>
      <c r="N31" s="121">
        <f t="shared" si="16"/>
        <v>0</v>
      </c>
      <c r="O31" s="121">
        <f t="shared" si="17"/>
        <v>0</v>
      </c>
      <c r="P31" s="123">
        <f t="shared" si="18"/>
        <v>0</v>
      </c>
      <c r="Q31" s="148"/>
      <c r="R31" s="148"/>
      <c r="S31" s="148"/>
      <c r="T31" s="148"/>
    </row>
    <row r="32" spans="1:20" ht="13.2" x14ac:dyDescent="0.2">
      <c r="A32" s="115">
        <v>4</v>
      </c>
      <c r="B32" s="116" t="s">
        <v>60</v>
      </c>
      <c r="C32" s="124" t="s">
        <v>81</v>
      </c>
      <c r="D32" s="118" t="s">
        <v>138</v>
      </c>
      <c r="E32" s="119">
        <f>E30</f>
        <v>1</v>
      </c>
      <c r="F32" s="120"/>
      <c r="G32" s="121"/>
      <c r="H32" s="122"/>
      <c r="I32" s="121"/>
      <c r="J32" s="121"/>
      <c r="K32" s="179">
        <f t="shared" si="14"/>
        <v>0</v>
      </c>
      <c r="L32" s="184">
        <f t="shared" si="9"/>
        <v>0</v>
      </c>
      <c r="M32" s="121">
        <f t="shared" si="15"/>
        <v>0</v>
      </c>
      <c r="N32" s="121">
        <f t="shared" si="16"/>
        <v>0</v>
      </c>
      <c r="O32" s="121">
        <f t="shared" si="17"/>
        <v>0</v>
      </c>
      <c r="P32" s="123">
        <f t="shared" si="18"/>
        <v>0</v>
      </c>
      <c r="Q32" s="148"/>
      <c r="R32" s="148"/>
      <c r="S32" s="148"/>
      <c r="T32" s="148"/>
    </row>
    <row r="33" spans="1:20" ht="13.2" x14ac:dyDescent="0.2">
      <c r="A33" s="115">
        <v>5</v>
      </c>
      <c r="B33" s="116" t="s">
        <v>60</v>
      </c>
      <c r="C33" s="124" t="s">
        <v>82</v>
      </c>
      <c r="D33" s="118" t="s">
        <v>138</v>
      </c>
      <c r="E33" s="119">
        <f>E29</f>
        <v>1</v>
      </c>
      <c r="F33" s="120"/>
      <c r="G33" s="121"/>
      <c r="H33" s="122"/>
      <c r="I33" s="121"/>
      <c r="J33" s="121"/>
      <c r="K33" s="179">
        <f t="shared" si="14"/>
        <v>0</v>
      </c>
      <c r="L33" s="184">
        <f t="shared" si="9"/>
        <v>0</v>
      </c>
      <c r="M33" s="121">
        <f t="shared" si="15"/>
        <v>0</v>
      </c>
      <c r="N33" s="121">
        <f t="shared" si="16"/>
        <v>0</v>
      </c>
      <c r="O33" s="121">
        <f t="shared" si="17"/>
        <v>0</v>
      </c>
      <c r="P33" s="123">
        <f t="shared" si="18"/>
        <v>0</v>
      </c>
      <c r="Q33" s="148"/>
      <c r="R33" s="148"/>
      <c r="S33" s="148"/>
      <c r="T33" s="148"/>
    </row>
    <row r="34" spans="1:20" ht="27" thickBot="1" x14ac:dyDescent="0.25">
      <c r="A34" s="115">
        <v>6</v>
      </c>
      <c r="B34" s="116" t="s">
        <v>60</v>
      </c>
      <c r="C34" s="124" t="s">
        <v>83</v>
      </c>
      <c r="D34" s="118" t="s">
        <v>138</v>
      </c>
      <c r="E34" s="119">
        <f>E30</f>
        <v>1</v>
      </c>
      <c r="F34" s="120"/>
      <c r="G34" s="121"/>
      <c r="H34" s="122"/>
      <c r="I34" s="121"/>
      <c r="J34" s="121"/>
      <c r="K34" s="179">
        <f t="shared" si="14"/>
        <v>0</v>
      </c>
      <c r="L34" s="185">
        <f t="shared" si="9"/>
        <v>0</v>
      </c>
      <c r="M34" s="156">
        <f t="shared" si="15"/>
        <v>0</v>
      </c>
      <c r="N34" s="156">
        <f t="shared" si="16"/>
        <v>0</v>
      </c>
      <c r="O34" s="156">
        <f t="shared" si="17"/>
        <v>0</v>
      </c>
      <c r="P34" s="157">
        <f t="shared" si="18"/>
        <v>0</v>
      </c>
      <c r="Q34" s="148"/>
      <c r="R34" s="148"/>
      <c r="S34" s="148"/>
      <c r="T34" s="148"/>
    </row>
    <row r="35" spans="1:20" ht="10.8" thickBot="1" x14ac:dyDescent="0.25">
      <c r="A35" s="285" t="s">
        <v>700</v>
      </c>
      <c r="B35" s="286"/>
      <c r="C35" s="286"/>
      <c r="D35" s="286"/>
      <c r="E35" s="286"/>
      <c r="F35" s="286"/>
      <c r="G35" s="286"/>
      <c r="H35" s="286"/>
      <c r="I35" s="286"/>
      <c r="J35" s="286"/>
      <c r="K35" s="287"/>
      <c r="L35" s="69">
        <f>SUM(L14:L34)</f>
        <v>0</v>
      </c>
      <c r="M35" s="70">
        <f>SUM(M14:M34)</f>
        <v>0</v>
      </c>
      <c r="N35" s="70">
        <f>SUM(N14:N34)</f>
        <v>0</v>
      </c>
      <c r="O35" s="70">
        <f>SUM(O14:O34)</f>
        <v>0</v>
      </c>
      <c r="P35" s="71">
        <f>SUM(P14:P34)</f>
        <v>0</v>
      </c>
    </row>
    <row r="36" spans="1:20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20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20" x14ac:dyDescent="0.2">
      <c r="A38" s="1" t="s">
        <v>14</v>
      </c>
      <c r="B38" s="17"/>
      <c r="C38" s="284">
        <f>'Kops a'!C37:H37</f>
        <v>0</v>
      </c>
      <c r="D38" s="284"/>
      <c r="E38" s="284"/>
      <c r="F38" s="284"/>
      <c r="G38" s="284"/>
      <c r="H38" s="284"/>
      <c r="I38" s="17"/>
      <c r="J38" s="17"/>
      <c r="K38" s="17"/>
      <c r="L38" s="17"/>
      <c r="M38" s="17"/>
      <c r="N38" s="17"/>
      <c r="O38" s="17"/>
      <c r="P38" s="17"/>
    </row>
    <row r="39" spans="1:20" x14ac:dyDescent="0.2">
      <c r="A39" s="17"/>
      <c r="B39" s="17"/>
      <c r="C39" s="219" t="s">
        <v>15</v>
      </c>
      <c r="D39" s="219"/>
      <c r="E39" s="219"/>
      <c r="F39" s="219"/>
      <c r="G39" s="219"/>
      <c r="H39" s="219"/>
      <c r="I39" s="17"/>
      <c r="J39" s="17"/>
      <c r="K39" s="17"/>
      <c r="L39" s="17"/>
      <c r="M39" s="17"/>
      <c r="N39" s="17"/>
      <c r="O39" s="17"/>
      <c r="P39" s="17"/>
    </row>
    <row r="40" spans="1:20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20" x14ac:dyDescent="0.2">
      <c r="A41" s="88" t="str">
        <f>'Kops a'!A40</f>
        <v xml:space="preserve">Tāme sastādīta </v>
      </c>
      <c r="B41" s="89"/>
      <c r="C41" s="89"/>
      <c r="D41" s="89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20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20" x14ac:dyDescent="0.2">
      <c r="A43" s="1" t="s">
        <v>37</v>
      </c>
      <c r="B43" s="17"/>
      <c r="C43" s="284">
        <f>'Kops a'!C42:H42</f>
        <v>0</v>
      </c>
      <c r="D43" s="284"/>
      <c r="E43" s="284"/>
      <c r="F43" s="284"/>
      <c r="G43" s="284"/>
      <c r="H43" s="284"/>
      <c r="I43" s="17"/>
      <c r="J43" s="17"/>
      <c r="K43" s="17"/>
      <c r="L43" s="17"/>
      <c r="M43" s="17"/>
      <c r="N43" s="17"/>
      <c r="O43" s="17"/>
      <c r="P43" s="17"/>
    </row>
    <row r="44" spans="1:20" x14ac:dyDescent="0.2">
      <c r="A44" s="17"/>
      <c r="B44" s="17"/>
      <c r="C44" s="219" t="s">
        <v>15</v>
      </c>
      <c r="D44" s="219"/>
      <c r="E44" s="219"/>
      <c r="F44" s="219"/>
      <c r="G44" s="219"/>
      <c r="H44" s="219"/>
      <c r="I44" s="17"/>
      <c r="J44" s="17"/>
      <c r="K44" s="17"/>
      <c r="L44" s="17"/>
      <c r="M44" s="17"/>
      <c r="N44" s="17"/>
      <c r="O44" s="17"/>
      <c r="P44" s="17"/>
    </row>
    <row r="45" spans="1:20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20" x14ac:dyDescent="0.2">
      <c r="A46" s="88" t="s">
        <v>54</v>
      </c>
      <c r="B46" s="89"/>
      <c r="C46" s="93">
        <f>'Kops a'!C45</f>
        <v>0</v>
      </c>
      <c r="D46" s="50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20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</sheetData>
  <mergeCells count="22">
    <mergeCell ref="A9:F9"/>
    <mergeCell ref="E12:E13"/>
    <mergeCell ref="C43:H43"/>
    <mergeCell ref="C44:H44"/>
    <mergeCell ref="C38:H38"/>
    <mergeCell ref="C39:H39"/>
    <mergeCell ref="A35:K35"/>
    <mergeCell ref="C2:I2"/>
    <mergeCell ref="C3:I3"/>
    <mergeCell ref="C4:I4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</mergeCells>
  <conditionalFormatting sqref="I14:J34 A14:G34">
    <cfRule type="cellIs" dxfId="347" priority="19" operator="equal">
      <formula>0</formula>
    </cfRule>
  </conditionalFormatting>
  <conditionalFormatting sqref="N9:O9">
    <cfRule type="cellIs" dxfId="346" priority="17" operator="equal">
      <formula>0</formula>
    </cfRule>
  </conditionalFormatting>
  <conditionalFormatting sqref="A9:F9">
    <cfRule type="containsText" dxfId="345" priority="1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344" priority="14" operator="equal">
      <formula>0</formula>
    </cfRule>
  </conditionalFormatting>
  <conditionalFormatting sqref="O10:P10">
    <cfRule type="cellIs" dxfId="343" priority="13" operator="equal">
      <formula>"20__. gada __. _________"</formula>
    </cfRule>
  </conditionalFormatting>
  <conditionalFormatting sqref="A35:K35">
    <cfRule type="containsText" dxfId="342" priority="11" operator="containsText" text="Tiešās izmaksas kopā, t. sk. darba devēja sociālais nodoklis __.__% ">
      <formula>NOT(ISERROR(SEARCH("Tiešās izmaksas kopā, t. sk. darba devēja sociālais nodoklis __.__% ",A35)))</formula>
    </cfRule>
  </conditionalFormatting>
  <conditionalFormatting sqref="C43:H43">
    <cfRule type="cellIs" dxfId="341" priority="8" operator="equal">
      <formula>0</formula>
    </cfRule>
  </conditionalFormatting>
  <conditionalFormatting sqref="C38:H38">
    <cfRule type="cellIs" dxfId="340" priority="7" operator="equal">
      <formula>0</formula>
    </cfRule>
  </conditionalFormatting>
  <conditionalFormatting sqref="H14:H34 K14:P34 L35:P35">
    <cfRule type="cellIs" dxfId="339" priority="6" operator="equal">
      <formula>0</formula>
    </cfRule>
  </conditionalFormatting>
  <conditionalFormatting sqref="C4:I4">
    <cfRule type="cellIs" dxfId="338" priority="5" operator="equal">
      <formula>0</formula>
    </cfRule>
  </conditionalFormatting>
  <conditionalFormatting sqref="D5:L8">
    <cfRule type="cellIs" dxfId="337" priority="3" operator="equal">
      <formula>0</formula>
    </cfRule>
  </conditionalFormatting>
  <conditionalFormatting sqref="C43:H43 C46 C38:H38">
    <cfRule type="cellIs" dxfId="336" priority="2" operator="equal">
      <formula>0</formula>
    </cfRule>
  </conditionalFormatting>
  <conditionalFormatting sqref="D1">
    <cfRule type="cellIs" dxfId="335" priority="1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BC596309-6EE4-47E0-A590-F3D2F6DA868B}">
            <xm:f>NOT(ISERROR(SEARCH("Tāme sastādīta ____. gada ___. ______________",A41)))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A41</xm:sqref>
        </x14:conditionalFormatting>
        <x14:conditionalFormatting xmlns:xm="http://schemas.microsoft.com/office/excel/2006/main">
          <x14:cfRule type="containsText" priority="9" operator="containsText" id="{A5053C80-E745-4777-A201-BBBD02E74FC0}">
            <xm:f>NOT(ISERROR(SEARCH("Sertifikāta Nr. _________________________________",A46)))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U114"/>
  <sheetViews>
    <sheetView workbookViewId="0">
      <selection activeCell="A9" sqref="A9:F9"/>
    </sheetView>
  </sheetViews>
  <sheetFormatPr defaultColWidth="9.109375" defaultRowHeight="10.199999999999999" x14ac:dyDescent="0.2"/>
  <cols>
    <col min="1" max="1" width="4.5546875" style="1" customWidth="1"/>
    <col min="2" max="2" width="9.44140625" style="1" bestFit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1">
        <f>'Kops a'!A16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267" t="s">
        <v>84</v>
      </c>
      <c r="D2" s="267"/>
      <c r="E2" s="267"/>
      <c r="F2" s="267"/>
      <c r="G2" s="267"/>
      <c r="H2" s="267"/>
      <c r="I2" s="267"/>
      <c r="J2" s="29"/>
    </row>
    <row r="3" spans="1:16" x14ac:dyDescent="0.2">
      <c r="A3" s="30"/>
      <c r="B3" s="30"/>
      <c r="C3" s="228" t="s">
        <v>17</v>
      </c>
      <c r="D3" s="228"/>
      <c r="E3" s="228"/>
      <c r="F3" s="228"/>
      <c r="G3" s="228"/>
      <c r="H3" s="228"/>
      <c r="I3" s="228"/>
      <c r="J3" s="30"/>
    </row>
    <row r="4" spans="1:16" x14ac:dyDescent="0.2">
      <c r="A4" s="30"/>
      <c r="B4" s="30"/>
      <c r="C4" s="268" t="s">
        <v>52</v>
      </c>
      <c r="D4" s="268"/>
      <c r="E4" s="268"/>
      <c r="F4" s="268"/>
      <c r="G4" s="268"/>
      <c r="H4" s="268"/>
      <c r="I4" s="268"/>
      <c r="J4" s="30"/>
    </row>
    <row r="5" spans="1:16" x14ac:dyDescent="0.2">
      <c r="A5" s="23"/>
      <c r="B5" s="23"/>
      <c r="C5" s="27" t="s">
        <v>5</v>
      </c>
      <c r="D5" s="281" t="str">
        <f>'Kops a'!D6</f>
        <v>DAUDZDZĪVOKĻU DZĪVOJAMĀ ĒKA</v>
      </c>
      <c r="E5" s="281"/>
      <c r="F5" s="281"/>
      <c r="G5" s="281"/>
      <c r="H5" s="281"/>
      <c r="I5" s="281"/>
      <c r="J5" s="281"/>
      <c r="K5" s="281"/>
      <c r="L5" s="281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281" t="str">
        <f>'Kops a'!D7</f>
        <v>ENERGOEFEKTIVITĀTES PAAUGSTINĀŠANA DAUDZDZĪVOKĻU DZĪVOJAMAI ĒKAI</v>
      </c>
      <c r="E6" s="281"/>
      <c r="F6" s="281"/>
      <c r="G6" s="281"/>
      <c r="H6" s="281"/>
      <c r="I6" s="281"/>
      <c r="J6" s="281"/>
      <c r="K6" s="281"/>
      <c r="L6" s="281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281" t="str">
        <f>'Kops a'!D8</f>
        <v>Pasta iela 34, Jelgava, ēkas kad. apz. 0900 001 0177 001</v>
      </c>
      <c r="E7" s="281"/>
      <c r="F7" s="281"/>
      <c r="G7" s="281"/>
      <c r="H7" s="281"/>
      <c r="I7" s="281"/>
      <c r="J7" s="281"/>
      <c r="K7" s="281"/>
      <c r="L7" s="281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281">
        <f>'Kops a'!D9</f>
        <v>0</v>
      </c>
      <c r="E8" s="281"/>
      <c r="F8" s="281"/>
      <c r="G8" s="281"/>
      <c r="H8" s="281"/>
      <c r="I8" s="281"/>
      <c r="J8" s="281"/>
      <c r="K8" s="281"/>
      <c r="L8" s="281"/>
      <c r="M8" s="17"/>
      <c r="N8" s="17"/>
      <c r="O8" s="17"/>
      <c r="P8" s="17"/>
    </row>
    <row r="9" spans="1:16" ht="11.25" customHeight="1" x14ac:dyDescent="0.2">
      <c r="A9" s="269" t="s">
        <v>702</v>
      </c>
      <c r="B9" s="269"/>
      <c r="C9" s="269"/>
      <c r="D9" s="269"/>
      <c r="E9" s="269"/>
      <c r="F9" s="269"/>
      <c r="G9" s="31"/>
      <c r="H9" s="31"/>
      <c r="I9" s="31"/>
      <c r="J9" s="273" t="s">
        <v>39</v>
      </c>
      <c r="K9" s="273"/>
      <c r="L9" s="273"/>
      <c r="M9" s="273"/>
      <c r="N9" s="280">
        <f>P102</f>
        <v>0</v>
      </c>
      <c r="O9" s="280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1"/>
      <c r="P10" s="90" t="str">
        <f>A108</f>
        <v xml:space="preserve">Tāme sastādīta 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239" t="s">
        <v>23</v>
      </c>
      <c r="B12" s="275" t="s">
        <v>40</v>
      </c>
      <c r="C12" s="271" t="s">
        <v>41</v>
      </c>
      <c r="D12" s="278" t="s">
        <v>42</v>
      </c>
      <c r="E12" s="282" t="s">
        <v>43</v>
      </c>
      <c r="F12" s="270" t="s">
        <v>44</v>
      </c>
      <c r="G12" s="271"/>
      <c r="H12" s="271"/>
      <c r="I12" s="271"/>
      <c r="J12" s="271"/>
      <c r="K12" s="272"/>
      <c r="L12" s="270" t="s">
        <v>45</v>
      </c>
      <c r="M12" s="271"/>
      <c r="N12" s="271"/>
      <c r="O12" s="271"/>
      <c r="P12" s="272"/>
    </row>
    <row r="13" spans="1:16" ht="126.75" customHeight="1" thickBot="1" x14ac:dyDescent="0.25">
      <c r="A13" s="274"/>
      <c r="B13" s="276"/>
      <c r="C13" s="277"/>
      <c r="D13" s="279"/>
      <c r="E13" s="283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ht="13.2" x14ac:dyDescent="0.2">
      <c r="A14" s="125"/>
      <c r="B14" s="126"/>
      <c r="C14" s="127" t="s">
        <v>85</v>
      </c>
      <c r="D14" s="128"/>
      <c r="E14" s="129"/>
      <c r="F14" s="130"/>
      <c r="G14" s="131"/>
      <c r="H14" s="132"/>
      <c r="I14" s="131"/>
      <c r="J14" s="131"/>
      <c r="K14" s="186"/>
      <c r="L14" s="187"/>
      <c r="M14" s="131"/>
      <c r="N14" s="131"/>
      <c r="O14" s="131"/>
      <c r="P14" s="133"/>
    </row>
    <row r="15" spans="1:16" ht="26.4" x14ac:dyDescent="0.2">
      <c r="A15" s="113">
        <v>1</v>
      </c>
      <c r="B15" s="134" t="s">
        <v>60</v>
      </c>
      <c r="C15" s="108" t="s">
        <v>158</v>
      </c>
      <c r="D15" s="135" t="s">
        <v>62</v>
      </c>
      <c r="E15" s="109">
        <v>34</v>
      </c>
      <c r="F15" s="120"/>
      <c r="G15" s="121"/>
      <c r="H15" s="122">
        <f t="shared" ref="H15:H37" si="0">ROUND(F15*G15,2)</f>
        <v>0</v>
      </c>
      <c r="I15" s="121"/>
      <c r="J15" s="121"/>
      <c r="K15" s="179">
        <f t="shared" ref="K15:K38" si="1">ROUND(H15+J15+I15,2)</f>
        <v>0</v>
      </c>
      <c r="L15" s="184">
        <f t="shared" ref="L15:L38" si="2">ROUND(E15*F15,2)</f>
        <v>0</v>
      </c>
      <c r="M15" s="121">
        <f t="shared" ref="M15:M38" si="3">ROUND(E15*H15,2)</f>
        <v>0</v>
      </c>
      <c r="N15" s="121">
        <f t="shared" ref="N15:N38" si="4">ROUND(E15*I15,2)</f>
        <v>0</v>
      </c>
      <c r="O15" s="121">
        <f t="shared" ref="O15:O38" si="5">ROUND(E15*J15,2)</f>
        <v>0</v>
      </c>
      <c r="P15" s="123">
        <f t="shared" ref="P15:P38" si="6">ROUND(O15+N15+M15,2)</f>
        <v>0</v>
      </c>
    </row>
    <row r="16" spans="1:16" ht="13.2" x14ac:dyDescent="0.2">
      <c r="A16" s="113">
        <v>2</v>
      </c>
      <c r="B16" s="134" t="s">
        <v>60</v>
      </c>
      <c r="C16" s="108" t="s">
        <v>159</v>
      </c>
      <c r="D16" s="135" t="s">
        <v>64</v>
      </c>
      <c r="E16" s="109">
        <v>3</v>
      </c>
      <c r="F16" s="120"/>
      <c r="G16" s="121"/>
      <c r="H16" s="122">
        <f t="shared" si="0"/>
        <v>0</v>
      </c>
      <c r="I16" s="121"/>
      <c r="J16" s="121"/>
      <c r="K16" s="179">
        <f t="shared" si="1"/>
        <v>0</v>
      </c>
      <c r="L16" s="184">
        <f t="shared" si="2"/>
        <v>0</v>
      </c>
      <c r="M16" s="121">
        <f t="shared" si="3"/>
        <v>0</v>
      </c>
      <c r="N16" s="121">
        <f t="shared" si="4"/>
        <v>0</v>
      </c>
      <c r="O16" s="121">
        <f t="shared" si="5"/>
        <v>0</v>
      </c>
      <c r="P16" s="123">
        <f t="shared" si="6"/>
        <v>0</v>
      </c>
    </row>
    <row r="17" spans="1:16" ht="52.8" x14ac:dyDescent="0.2">
      <c r="A17" s="113">
        <v>3</v>
      </c>
      <c r="B17" s="134" t="s">
        <v>60</v>
      </c>
      <c r="C17" s="108" t="s">
        <v>160</v>
      </c>
      <c r="D17" s="135" t="s">
        <v>62</v>
      </c>
      <c r="E17" s="109">
        <v>3.2</v>
      </c>
      <c r="F17" s="120"/>
      <c r="G17" s="121"/>
      <c r="H17" s="122">
        <f t="shared" si="0"/>
        <v>0</v>
      </c>
      <c r="I17" s="121"/>
      <c r="J17" s="121"/>
      <c r="K17" s="179">
        <f t="shared" si="1"/>
        <v>0</v>
      </c>
      <c r="L17" s="184">
        <f t="shared" si="2"/>
        <v>0</v>
      </c>
      <c r="M17" s="121">
        <f t="shared" si="3"/>
        <v>0</v>
      </c>
      <c r="N17" s="121">
        <f t="shared" si="4"/>
        <v>0</v>
      </c>
      <c r="O17" s="121">
        <f t="shared" si="5"/>
        <v>0</v>
      </c>
      <c r="P17" s="123">
        <f t="shared" si="6"/>
        <v>0</v>
      </c>
    </row>
    <row r="18" spans="1:16" ht="39.6" x14ac:dyDescent="0.2">
      <c r="A18" s="113">
        <v>4</v>
      </c>
      <c r="B18" s="134" t="s">
        <v>60</v>
      </c>
      <c r="C18" s="108" t="s">
        <v>161</v>
      </c>
      <c r="D18" s="135" t="s">
        <v>62</v>
      </c>
      <c r="E18" s="109">
        <v>16.600000000000001</v>
      </c>
      <c r="F18" s="120"/>
      <c r="G18" s="121"/>
      <c r="H18" s="122">
        <f t="shared" si="0"/>
        <v>0</v>
      </c>
      <c r="I18" s="121"/>
      <c r="J18" s="121"/>
      <c r="K18" s="179">
        <f t="shared" si="1"/>
        <v>0</v>
      </c>
      <c r="L18" s="184">
        <f t="shared" si="2"/>
        <v>0</v>
      </c>
      <c r="M18" s="121">
        <f t="shared" si="3"/>
        <v>0</v>
      </c>
      <c r="N18" s="121">
        <f t="shared" si="4"/>
        <v>0</v>
      </c>
      <c r="O18" s="121">
        <f t="shared" si="5"/>
        <v>0</v>
      </c>
      <c r="P18" s="123">
        <f t="shared" si="6"/>
        <v>0</v>
      </c>
    </row>
    <row r="19" spans="1:16" ht="13.2" x14ac:dyDescent="0.2">
      <c r="A19" s="113">
        <v>5</v>
      </c>
      <c r="B19" s="134" t="s">
        <v>60</v>
      </c>
      <c r="C19" s="108" t="s">
        <v>162</v>
      </c>
      <c r="D19" s="135" t="s">
        <v>62</v>
      </c>
      <c r="E19" s="109">
        <v>70.599999999999994</v>
      </c>
      <c r="F19" s="120"/>
      <c r="G19" s="121"/>
      <c r="H19" s="122">
        <f t="shared" si="0"/>
        <v>0</v>
      </c>
      <c r="I19" s="121"/>
      <c r="J19" s="121"/>
      <c r="K19" s="179">
        <f t="shared" si="1"/>
        <v>0</v>
      </c>
      <c r="L19" s="184">
        <f t="shared" si="2"/>
        <v>0</v>
      </c>
      <c r="M19" s="121">
        <f t="shared" si="3"/>
        <v>0</v>
      </c>
      <c r="N19" s="121">
        <f t="shared" si="4"/>
        <v>0</v>
      </c>
      <c r="O19" s="121">
        <f t="shared" si="5"/>
        <v>0</v>
      </c>
      <c r="P19" s="123">
        <f t="shared" si="6"/>
        <v>0</v>
      </c>
    </row>
    <row r="20" spans="1:16" ht="13.2" x14ac:dyDescent="0.2">
      <c r="A20" s="113">
        <v>6</v>
      </c>
      <c r="B20" s="134" t="s">
        <v>60</v>
      </c>
      <c r="C20" s="108" t="s">
        <v>163</v>
      </c>
      <c r="D20" s="135" t="s">
        <v>62</v>
      </c>
      <c r="E20" s="109">
        <v>19.100000000000001</v>
      </c>
      <c r="F20" s="120"/>
      <c r="G20" s="121"/>
      <c r="H20" s="122">
        <f t="shared" si="0"/>
        <v>0</v>
      </c>
      <c r="I20" s="121"/>
      <c r="J20" s="121"/>
      <c r="K20" s="179">
        <f t="shared" si="1"/>
        <v>0</v>
      </c>
      <c r="L20" s="184">
        <f t="shared" si="2"/>
        <v>0</v>
      </c>
      <c r="M20" s="121">
        <f t="shared" si="3"/>
        <v>0</v>
      </c>
      <c r="N20" s="121">
        <f t="shared" si="4"/>
        <v>0</v>
      </c>
      <c r="O20" s="121">
        <f t="shared" si="5"/>
        <v>0</v>
      </c>
      <c r="P20" s="123">
        <f t="shared" si="6"/>
        <v>0</v>
      </c>
    </row>
    <row r="21" spans="1:16" ht="13.2" x14ac:dyDescent="0.2">
      <c r="A21" s="113">
        <v>7</v>
      </c>
      <c r="B21" s="134" t="s">
        <v>60</v>
      </c>
      <c r="C21" s="108" t="s">
        <v>164</v>
      </c>
      <c r="D21" s="135" t="s">
        <v>62</v>
      </c>
      <c r="E21" s="109">
        <v>23.9</v>
      </c>
      <c r="F21" s="120"/>
      <c r="G21" s="121"/>
      <c r="H21" s="122">
        <f t="shared" si="0"/>
        <v>0</v>
      </c>
      <c r="I21" s="121"/>
      <c r="J21" s="121"/>
      <c r="K21" s="179">
        <f t="shared" si="1"/>
        <v>0</v>
      </c>
      <c r="L21" s="184">
        <f t="shared" si="2"/>
        <v>0</v>
      </c>
      <c r="M21" s="121">
        <f t="shared" si="3"/>
        <v>0</v>
      </c>
      <c r="N21" s="121">
        <f t="shared" si="4"/>
        <v>0</v>
      </c>
      <c r="O21" s="121">
        <f t="shared" si="5"/>
        <v>0</v>
      </c>
      <c r="P21" s="123">
        <f t="shared" si="6"/>
        <v>0</v>
      </c>
    </row>
    <row r="22" spans="1:16" ht="26.4" x14ac:dyDescent="0.2">
      <c r="A22" s="113">
        <v>8</v>
      </c>
      <c r="B22" s="134" t="s">
        <v>60</v>
      </c>
      <c r="C22" s="108" t="s">
        <v>165</v>
      </c>
      <c r="D22" s="135" t="s">
        <v>68</v>
      </c>
      <c r="E22" s="109">
        <v>14</v>
      </c>
      <c r="F22" s="120"/>
      <c r="G22" s="121"/>
      <c r="H22" s="122">
        <f t="shared" si="0"/>
        <v>0</v>
      </c>
      <c r="I22" s="121"/>
      <c r="J22" s="121"/>
      <c r="K22" s="179">
        <f t="shared" si="1"/>
        <v>0</v>
      </c>
      <c r="L22" s="184">
        <f t="shared" si="2"/>
        <v>0</v>
      </c>
      <c r="M22" s="121">
        <f t="shared" si="3"/>
        <v>0</v>
      </c>
      <c r="N22" s="121">
        <f t="shared" si="4"/>
        <v>0</v>
      </c>
      <c r="O22" s="121">
        <f t="shared" si="5"/>
        <v>0</v>
      </c>
      <c r="P22" s="123">
        <f t="shared" si="6"/>
        <v>0</v>
      </c>
    </row>
    <row r="23" spans="1:16" ht="13.2" x14ac:dyDescent="0.2">
      <c r="A23" s="113">
        <v>9</v>
      </c>
      <c r="B23" s="134" t="s">
        <v>60</v>
      </c>
      <c r="C23" s="108" t="s">
        <v>166</v>
      </c>
      <c r="D23" s="135" t="s">
        <v>68</v>
      </c>
      <c r="E23" s="109">
        <v>1</v>
      </c>
      <c r="F23" s="120"/>
      <c r="G23" s="121"/>
      <c r="H23" s="122">
        <f t="shared" si="0"/>
        <v>0</v>
      </c>
      <c r="I23" s="121"/>
      <c r="J23" s="121"/>
      <c r="K23" s="179">
        <f t="shared" si="1"/>
        <v>0</v>
      </c>
      <c r="L23" s="184">
        <f t="shared" si="2"/>
        <v>0</v>
      </c>
      <c r="M23" s="121">
        <f t="shared" si="3"/>
        <v>0</v>
      </c>
      <c r="N23" s="121">
        <f t="shared" si="4"/>
        <v>0</v>
      </c>
      <c r="O23" s="121">
        <f t="shared" si="5"/>
        <v>0</v>
      </c>
      <c r="P23" s="123">
        <f t="shared" si="6"/>
        <v>0</v>
      </c>
    </row>
    <row r="24" spans="1:16" ht="39.6" x14ac:dyDescent="0.2">
      <c r="A24" s="113">
        <v>10</v>
      </c>
      <c r="B24" s="134" t="s">
        <v>60</v>
      </c>
      <c r="C24" s="108" t="s">
        <v>167</v>
      </c>
      <c r="D24" s="135" t="s">
        <v>62</v>
      </c>
      <c r="E24" s="109">
        <v>47.4</v>
      </c>
      <c r="F24" s="120"/>
      <c r="G24" s="121"/>
      <c r="H24" s="122">
        <f t="shared" si="0"/>
        <v>0</v>
      </c>
      <c r="I24" s="121"/>
      <c r="J24" s="121"/>
      <c r="K24" s="179">
        <f t="shared" si="1"/>
        <v>0</v>
      </c>
      <c r="L24" s="184">
        <f t="shared" si="2"/>
        <v>0</v>
      </c>
      <c r="M24" s="121">
        <f t="shared" si="3"/>
        <v>0</v>
      </c>
      <c r="N24" s="121">
        <f t="shared" si="4"/>
        <v>0</v>
      </c>
      <c r="O24" s="121">
        <f t="shared" si="5"/>
        <v>0</v>
      </c>
      <c r="P24" s="123">
        <f t="shared" si="6"/>
        <v>0</v>
      </c>
    </row>
    <row r="25" spans="1:16" ht="66" x14ac:dyDescent="0.2">
      <c r="A25" s="113">
        <v>11</v>
      </c>
      <c r="B25" s="134" t="s">
        <v>60</v>
      </c>
      <c r="C25" s="108" t="s">
        <v>168</v>
      </c>
      <c r="D25" s="135" t="s">
        <v>68</v>
      </c>
      <c r="E25" s="109">
        <v>1</v>
      </c>
      <c r="F25" s="120"/>
      <c r="G25" s="121"/>
      <c r="H25" s="122">
        <f t="shared" si="0"/>
        <v>0</v>
      </c>
      <c r="I25" s="121"/>
      <c r="J25" s="121"/>
      <c r="K25" s="179">
        <f t="shared" si="1"/>
        <v>0</v>
      </c>
      <c r="L25" s="184">
        <f t="shared" si="2"/>
        <v>0</v>
      </c>
      <c r="M25" s="121">
        <f t="shared" si="3"/>
        <v>0</v>
      </c>
      <c r="N25" s="121">
        <f t="shared" si="4"/>
        <v>0</v>
      </c>
      <c r="O25" s="121">
        <f t="shared" si="5"/>
        <v>0</v>
      </c>
      <c r="P25" s="123">
        <f t="shared" si="6"/>
        <v>0</v>
      </c>
    </row>
    <row r="26" spans="1:16" ht="39.6" x14ac:dyDescent="0.2">
      <c r="A26" s="113">
        <v>12</v>
      </c>
      <c r="B26" s="134" t="s">
        <v>60</v>
      </c>
      <c r="C26" s="108" t="s">
        <v>169</v>
      </c>
      <c r="D26" s="135" t="s">
        <v>68</v>
      </c>
      <c r="E26" s="109">
        <v>1</v>
      </c>
      <c r="F26" s="120"/>
      <c r="G26" s="121"/>
      <c r="H26" s="122">
        <f t="shared" si="0"/>
        <v>0</v>
      </c>
      <c r="I26" s="121"/>
      <c r="J26" s="121"/>
      <c r="K26" s="179">
        <f t="shared" si="1"/>
        <v>0</v>
      </c>
      <c r="L26" s="184">
        <f t="shared" si="2"/>
        <v>0</v>
      </c>
      <c r="M26" s="121">
        <f t="shared" si="3"/>
        <v>0</v>
      </c>
      <c r="N26" s="121">
        <f t="shared" si="4"/>
        <v>0</v>
      </c>
      <c r="O26" s="121">
        <f t="shared" si="5"/>
        <v>0</v>
      </c>
      <c r="P26" s="123">
        <f t="shared" si="6"/>
        <v>0</v>
      </c>
    </row>
    <row r="27" spans="1:16" ht="39.6" x14ac:dyDescent="0.2">
      <c r="A27" s="113">
        <v>13</v>
      </c>
      <c r="B27" s="134" t="s">
        <v>60</v>
      </c>
      <c r="C27" s="108" t="s">
        <v>170</v>
      </c>
      <c r="D27" s="135" t="s">
        <v>68</v>
      </c>
      <c r="E27" s="109">
        <v>1</v>
      </c>
      <c r="F27" s="120"/>
      <c r="G27" s="121"/>
      <c r="H27" s="122">
        <f t="shared" si="0"/>
        <v>0</v>
      </c>
      <c r="I27" s="121"/>
      <c r="J27" s="121"/>
      <c r="K27" s="179">
        <f t="shared" si="1"/>
        <v>0</v>
      </c>
      <c r="L27" s="184">
        <f t="shared" si="2"/>
        <v>0</v>
      </c>
      <c r="M27" s="121">
        <f t="shared" si="3"/>
        <v>0</v>
      </c>
      <c r="N27" s="121">
        <f t="shared" si="4"/>
        <v>0</v>
      </c>
      <c r="O27" s="121">
        <f t="shared" si="5"/>
        <v>0</v>
      </c>
      <c r="P27" s="123">
        <f t="shared" si="6"/>
        <v>0</v>
      </c>
    </row>
    <row r="28" spans="1:16" ht="13.2" x14ac:dyDescent="0.2">
      <c r="A28" s="113">
        <v>14</v>
      </c>
      <c r="B28" s="134" t="s">
        <v>60</v>
      </c>
      <c r="C28" s="108" t="s">
        <v>171</v>
      </c>
      <c r="D28" s="135" t="s">
        <v>64</v>
      </c>
      <c r="E28" s="109">
        <v>2</v>
      </c>
      <c r="F28" s="120"/>
      <c r="G28" s="121"/>
      <c r="H28" s="122">
        <f t="shared" si="0"/>
        <v>0</v>
      </c>
      <c r="I28" s="121"/>
      <c r="J28" s="121"/>
      <c r="K28" s="179">
        <f t="shared" si="1"/>
        <v>0</v>
      </c>
      <c r="L28" s="184">
        <f t="shared" si="2"/>
        <v>0</v>
      </c>
      <c r="M28" s="121">
        <f t="shared" si="3"/>
        <v>0</v>
      </c>
      <c r="N28" s="121">
        <f t="shared" si="4"/>
        <v>0</v>
      </c>
      <c r="O28" s="121">
        <f t="shared" si="5"/>
        <v>0</v>
      </c>
      <c r="P28" s="123">
        <f t="shared" si="6"/>
        <v>0</v>
      </c>
    </row>
    <row r="29" spans="1:16" ht="26.4" x14ac:dyDescent="0.2">
      <c r="A29" s="113">
        <v>15</v>
      </c>
      <c r="B29" s="134" t="s">
        <v>60</v>
      </c>
      <c r="C29" s="108" t="s">
        <v>172</v>
      </c>
      <c r="D29" s="135" t="s">
        <v>68</v>
      </c>
      <c r="E29" s="109">
        <v>1</v>
      </c>
      <c r="F29" s="120"/>
      <c r="G29" s="121"/>
      <c r="H29" s="122">
        <f t="shared" si="0"/>
        <v>0</v>
      </c>
      <c r="I29" s="121"/>
      <c r="J29" s="121"/>
      <c r="K29" s="179">
        <f t="shared" si="1"/>
        <v>0</v>
      </c>
      <c r="L29" s="184">
        <f t="shared" si="2"/>
        <v>0</v>
      </c>
      <c r="M29" s="121">
        <f t="shared" si="3"/>
        <v>0</v>
      </c>
      <c r="N29" s="121">
        <f t="shared" si="4"/>
        <v>0</v>
      </c>
      <c r="O29" s="121">
        <f t="shared" si="5"/>
        <v>0</v>
      </c>
      <c r="P29" s="123">
        <f t="shared" si="6"/>
        <v>0</v>
      </c>
    </row>
    <row r="30" spans="1:16" ht="26.4" x14ac:dyDescent="0.2">
      <c r="A30" s="113">
        <v>16</v>
      </c>
      <c r="B30" s="134" t="s">
        <v>60</v>
      </c>
      <c r="C30" s="108" t="s">
        <v>173</v>
      </c>
      <c r="D30" s="135" t="s">
        <v>68</v>
      </c>
      <c r="E30" s="109">
        <v>1</v>
      </c>
      <c r="F30" s="120"/>
      <c r="G30" s="121"/>
      <c r="H30" s="122">
        <f t="shared" si="0"/>
        <v>0</v>
      </c>
      <c r="I30" s="121"/>
      <c r="J30" s="121"/>
      <c r="K30" s="179">
        <f t="shared" si="1"/>
        <v>0</v>
      </c>
      <c r="L30" s="184">
        <f t="shared" si="2"/>
        <v>0</v>
      </c>
      <c r="M30" s="121">
        <f t="shared" si="3"/>
        <v>0</v>
      </c>
      <c r="N30" s="121">
        <f t="shared" si="4"/>
        <v>0</v>
      </c>
      <c r="O30" s="121">
        <f t="shared" si="5"/>
        <v>0</v>
      </c>
      <c r="P30" s="123">
        <f t="shared" si="6"/>
        <v>0</v>
      </c>
    </row>
    <row r="31" spans="1:16" ht="13.2" x14ac:dyDescent="0.2">
      <c r="A31" s="113">
        <v>17</v>
      </c>
      <c r="B31" s="134" t="s">
        <v>60</v>
      </c>
      <c r="C31" s="108" t="s">
        <v>174</v>
      </c>
      <c r="D31" s="135" t="s">
        <v>68</v>
      </c>
      <c r="E31" s="109">
        <v>1</v>
      </c>
      <c r="F31" s="120"/>
      <c r="G31" s="121"/>
      <c r="H31" s="122">
        <f t="shared" si="0"/>
        <v>0</v>
      </c>
      <c r="I31" s="121"/>
      <c r="J31" s="121"/>
      <c r="K31" s="179">
        <f t="shared" si="1"/>
        <v>0</v>
      </c>
      <c r="L31" s="184">
        <f t="shared" si="2"/>
        <v>0</v>
      </c>
      <c r="M31" s="121">
        <f t="shared" si="3"/>
        <v>0</v>
      </c>
      <c r="N31" s="121">
        <f t="shared" si="4"/>
        <v>0</v>
      </c>
      <c r="O31" s="121">
        <f t="shared" si="5"/>
        <v>0</v>
      </c>
      <c r="P31" s="123">
        <f t="shared" si="6"/>
        <v>0</v>
      </c>
    </row>
    <row r="32" spans="1:16" ht="13.2" x14ac:dyDescent="0.2">
      <c r="A32" s="113">
        <v>18</v>
      </c>
      <c r="B32" s="134" t="s">
        <v>60</v>
      </c>
      <c r="C32" s="108" t="s">
        <v>175</v>
      </c>
      <c r="D32" s="135" t="s">
        <v>62</v>
      </c>
      <c r="E32" s="109">
        <v>17.100000000000001</v>
      </c>
      <c r="F32" s="120"/>
      <c r="G32" s="121"/>
      <c r="H32" s="122">
        <f t="shared" si="0"/>
        <v>0</v>
      </c>
      <c r="I32" s="121"/>
      <c r="J32" s="121"/>
      <c r="K32" s="179">
        <f t="shared" si="1"/>
        <v>0</v>
      </c>
      <c r="L32" s="184">
        <f t="shared" si="2"/>
        <v>0</v>
      </c>
      <c r="M32" s="121">
        <f t="shared" si="3"/>
        <v>0</v>
      </c>
      <c r="N32" s="121">
        <f t="shared" si="4"/>
        <v>0</v>
      </c>
      <c r="O32" s="121">
        <f t="shared" si="5"/>
        <v>0</v>
      </c>
      <c r="P32" s="123">
        <f t="shared" si="6"/>
        <v>0</v>
      </c>
    </row>
    <row r="33" spans="1:21" ht="13.2" x14ac:dyDescent="0.2">
      <c r="A33" s="113">
        <v>19</v>
      </c>
      <c r="B33" s="134" t="s">
        <v>60</v>
      </c>
      <c r="C33" s="108" t="s">
        <v>176</v>
      </c>
      <c r="D33" s="135" t="s">
        <v>64</v>
      </c>
      <c r="E33" s="109">
        <v>3</v>
      </c>
      <c r="F33" s="120"/>
      <c r="G33" s="121"/>
      <c r="H33" s="122">
        <f t="shared" si="0"/>
        <v>0</v>
      </c>
      <c r="I33" s="121"/>
      <c r="J33" s="121"/>
      <c r="K33" s="179">
        <f t="shared" si="1"/>
        <v>0</v>
      </c>
      <c r="L33" s="184">
        <f t="shared" si="2"/>
        <v>0</v>
      </c>
      <c r="M33" s="121">
        <f t="shared" si="3"/>
        <v>0</v>
      </c>
      <c r="N33" s="121">
        <f t="shared" si="4"/>
        <v>0</v>
      </c>
      <c r="O33" s="121">
        <f t="shared" si="5"/>
        <v>0</v>
      </c>
      <c r="P33" s="123">
        <f t="shared" si="6"/>
        <v>0</v>
      </c>
    </row>
    <row r="34" spans="1:21" ht="26.4" x14ac:dyDescent="0.2">
      <c r="A34" s="113">
        <v>20</v>
      </c>
      <c r="B34" s="134" t="s">
        <v>60</v>
      </c>
      <c r="C34" s="108" t="s">
        <v>177</v>
      </c>
      <c r="D34" s="135" t="s">
        <v>62</v>
      </c>
      <c r="E34" s="109">
        <v>32.9</v>
      </c>
      <c r="F34" s="120"/>
      <c r="G34" s="121"/>
      <c r="H34" s="122">
        <f t="shared" si="0"/>
        <v>0</v>
      </c>
      <c r="I34" s="121"/>
      <c r="J34" s="121"/>
      <c r="K34" s="179">
        <f t="shared" si="1"/>
        <v>0</v>
      </c>
      <c r="L34" s="184">
        <f t="shared" si="2"/>
        <v>0</v>
      </c>
      <c r="M34" s="121">
        <f t="shared" si="3"/>
        <v>0</v>
      </c>
      <c r="N34" s="121">
        <f t="shared" si="4"/>
        <v>0</v>
      </c>
      <c r="O34" s="121">
        <f t="shared" si="5"/>
        <v>0</v>
      </c>
      <c r="P34" s="123">
        <f t="shared" si="6"/>
        <v>0</v>
      </c>
    </row>
    <row r="35" spans="1:21" ht="26.4" x14ac:dyDescent="0.2">
      <c r="A35" s="113">
        <v>21</v>
      </c>
      <c r="B35" s="134" t="s">
        <v>60</v>
      </c>
      <c r="C35" s="108" t="s">
        <v>178</v>
      </c>
      <c r="D35" s="135" t="s">
        <v>73</v>
      </c>
      <c r="E35" s="109">
        <v>5.88</v>
      </c>
      <c r="F35" s="120"/>
      <c r="G35" s="121"/>
      <c r="H35" s="122">
        <f t="shared" si="0"/>
        <v>0</v>
      </c>
      <c r="I35" s="121"/>
      <c r="J35" s="121"/>
      <c r="K35" s="179">
        <f t="shared" si="1"/>
        <v>0</v>
      </c>
      <c r="L35" s="184">
        <f t="shared" si="2"/>
        <v>0</v>
      </c>
      <c r="M35" s="121">
        <f t="shared" si="3"/>
        <v>0</v>
      </c>
      <c r="N35" s="121">
        <f t="shared" si="4"/>
        <v>0</v>
      </c>
      <c r="O35" s="121">
        <f t="shared" si="5"/>
        <v>0</v>
      </c>
      <c r="P35" s="123">
        <f t="shared" si="6"/>
        <v>0</v>
      </c>
    </row>
    <row r="36" spans="1:21" ht="39.6" x14ac:dyDescent="0.2">
      <c r="A36" s="113">
        <v>22</v>
      </c>
      <c r="B36" s="134" t="s">
        <v>60</v>
      </c>
      <c r="C36" s="108" t="s">
        <v>179</v>
      </c>
      <c r="D36" s="135" t="s">
        <v>64</v>
      </c>
      <c r="E36" s="109">
        <v>45</v>
      </c>
      <c r="F36" s="120"/>
      <c r="G36" s="121"/>
      <c r="H36" s="122">
        <f t="shared" si="0"/>
        <v>0</v>
      </c>
      <c r="I36" s="121"/>
      <c r="J36" s="121"/>
      <c r="K36" s="179">
        <f t="shared" si="1"/>
        <v>0</v>
      </c>
      <c r="L36" s="184">
        <f t="shared" si="2"/>
        <v>0</v>
      </c>
      <c r="M36" s="121">
        <f t="shared" si="3"/>
        <v>0</v>
      </c>
      <c r="N36" s="121">
        <f t="shared" si="4"/>
        <v>0</v>
      </c>
      <c r="O36" s="121">
        <f t="shared" si="5"/>
        <v>0</v>
      </c>
      <c r="P36" s="123">
        <f t="shared" si="6"/>
        <v>0</v>
      </c>
      <c r="Q36" s="288"/>
      <c r="R36" s="289"/>
      <c r="S36" s="289"/>
      <c r="T36" s="289"/>
      <c r="U36" s="289"/>
    </row>
    <row r="37" spans="1:21" ht="13.2" x14ac:dyDescent="0.2">
      <c r="A37" s="113">
        <v>23</v>
      </c>
      <c r="B37" s="134" t="s">
        <v>60</v>
      </c>
      <c r="C37" s="108" t="s">
        <v>86</v>
      </c>
      <c r="D37" s="135" t="s">
        <v>87</v>
      </c>
      <c r="E37" s="109">
        <v>8</v>
      </c>
      <c r="F37" s="120"/>
      <c r="G37" s="121"/>
      <c r="H37" s="122">
        <f t="shared" si="0"/>
        <v>0</v>
      </c>
      <c r="I37" s="121"/>
      <c r="J37" s="121"/>
      <c r="K37" s="179">
        <f t="shared" si="1"/>
        <v>0</v>
      </c>
      <c r="L37" s="184">
        <f t="shared" si="2"/>
        <v>0</v>
      </c>
      <c r="M37" s="121">
        <f t="shared" si="3"/>
        <v>0</v>
      </c>
      <c r="N37" s="121">
        <f t="shared" si="4"/>
        <v>0</v>
      </c>
      <c r="O37" s="121">
        <f t="shared" si="5"/>
        <v>0</v>
      </c>
      <c r="P37" s="123">
        <f t="shared" si="6"/>
        <v>0</v>
      </c>
    </row>
    <row r="38" spans="1:21" ht="26.4" x14ac:dyDescent="0.2">
      <c r="A38" s="113">
        <v>24</v>
      </c>
      <c r="B38" s="134" t="s">
        <v>60</v>
      </c>
      <c r="C38" s="108" t="s">
        <v>88</v>
      </c>
      <c r="D38" s="135" t="s">
        <v>89</v>
      </c>
      <c r="E38" s="109">
        <f>E36*6*0.82*0.08*5</f>
        <v>88.56</v>
      </c>
      <c r="F38" s="120"/>
      <c r="G38" s="121"/>
      <c r="H38" s="122"/>
      <c r="I38" s="121"/>
      <c r="J38" s="121"/>
      <c r="K38" s="179">
        <f t="shared" si="1"/>
        <v>0</v>
      </c>
      <c r="L38" s="184">
        <f t="shared" si="2"/>
        <v>0</v>
      </c>
      <c r="M38" s="121">
        <f t="shared" si="3"/>
        <v>0</v>
      </c>
      <c r="N38" s="121">
        <f t="shared" si="4"/>
        <v>0</v>
      </c>
      <c r="O38" s="121">
        <f t="shared" si="5"/>
        <v>0</v>
      </c>
      <c r="P38" s="123">
        <f t="shared" si="6"/>
        <v>0</v>
      </c>
    </row>
    <row r="39" spans="1:21" ht="13.2" x14ac:dyDescent="0.2">
      <c r="A39" s="115"/>
      <c r="B39" s="106"/>
      <c r="C39" s="136" t="s">
        <v>90</v>
      </c>
      <c r="D39" s="116"/>
      <c r="E39" s="137"/>
      <c r="F39" s="120"/>
      <c r="G39" s="121"/>
      <c r="H39" s="122"/>
      <c r="I39" s="121"/>
      <c r="J39" s="121"/>
      <c r="K39" s="179"/>
      <c r="L39" s="184"/>
      <c r="M39" s="121"/>
      <c r="N39" s="121"/>
      <c r="O39" s="121"/>
      <c r="P39" s="123"/>
    </row>
    <row r="40" spans="1:21" ht="26.4" x14ac:dyDescent="0.2">
      <c r="A40" s="113">
        <v>1</v>
      </c>
      <c r="B40" s="134" t="s">
        <v>60</v>
      </c>
      <c r="C40" s="108" t="s">
        <v>158</v>
      </c>
      <c r="D40" s="135" t="s">
        <v>62</v>
      </c>
      <c r="E40" s="109">
        <v>27.2</v>
      </c>
      <c r="F40" s="120"/>
      <c r="G40" s="121"/>
      <c r="H40" s="122">
        <f t="shared" ref="H40:H65" si="7">ROUND(F40*G40,2)</f>
        <v>0</v>
      </c>
      <c r="I40" s="121"/>
      <c r="J40" s="121"/>
      <c r="K40" s="179">
        <f t="shared" ref="K40:K66" si="8">ROUND(H40+J40+I40,2)</f>
        <v>0</v>
      </c>
      <c r="L40" s="184">
        <f t="shared" ref="L40:L66" si="9">ROUND(E40*F40,2)</f>
        <v>0</v>
      </c>
      <c r="M40" s="121">
        <f t="shared" ref="M40:M66" si="10">ROUND(E40*H40,2)</f>
        <v>0</v>
      </c>
      <c r="N40" s="121">
        <f t="shared" ref="N40:N66" si="11">ROUND(E40*I40,2)</f>
        <v>0</v>
      </c>
      <c r="O40" s="121">
        <f t="shared" ref="O40:O66" si="12">ROUND(E40*J40,2)</f>
        <v>0</v>
      </c>
      <c r="P40" s="123">
        <f t="shared" ref="P40:P66" si="13">ROUND(O40+N40+M40,2)</f>
        <v>0</v>
      </c>
    </row>
    <row r="41" spans="1:21" ht="13.2" x14ac:dyDescent="0.2">
      <c r="A41" s="113">
        <v>2</v>
      </c>
      <c r="B41" s="134" t="s">
        <v>60</v>
      </c>
      <c r="C41" s="108" t="s">
        <v>159</v>
      </c>
      <c r="D41" s="135" t="s">
        <v>64</v>
      </c>
      <c r="E41" s="109">
        <v>2</v>
      </c>
      <c r="F41" s="120"/>
      <c r="G41" s="121"/>
      <c r="H41" s="122">
        <f t="shared" si="7"/>
        <v>0</v>
      </c>
      <c r="I41" s="121"/>
      <c r="J41" s="121"/>
      <c r="K41" s="179">
        <f t="shared" si="8"/>
        <v>0</v>
      </c>
      <c r="L41" s="184">
        <f t="shared" si="9"/>
        <v>0</v>
      </c>
      <c r="M41" s="121">
        <f t="shared" si="10"/>
        <v>0</v>
      </c>
      <c r="N41" s="121">
        <f t="shared" si="11"/>
        <v>0</v>
      </c>
      <c r="O41" s="121">
        <f t="shared" si="12"/>
        <v>0</v>
      </c>
      <c r="P41" s="123">
        <f t="shared" si="13"/>
        <v>0</v>
      </c>
    </row>
    <row r="42" spans="1:21" ht="26.4" x14ac:dyDescent="0.2">
      <c r="A42" s="113">
        <v>3</v>
      </c>
      <c r="B42" s="134" t="s">
        <v>60</v>
      </c>
      <c r="C42" s="108" t="s">
        <v>180</v>
      </c>
      <c r="D42" s="135" t="s">
        <v>62</v>
      </c>
      <c r="E42" s="109">
        <v>18.600000000000001</v>
      </c>
      <c r="F42" s="120"/>
      <c r="G42" s="121"/>
      <c r="H42" s="122">
        <f t="shared" si="7"/>
        <v>0</v>
      </c>
      <c r="I42" s="121"/>
      <c r="J42" s="121"/>
      <c r="K42" s="179">
        <f t="shared" si="8"/>
        <v>0</v>
      </c>
      <c r="L42" s="184">
        <f t="shared" si="9"/>
        <v>0</v>
      </c>
      <c r="M42" s="121">
        <f t="shared" si="10"/>
        <v>0</v>
      </c>
      <c r="N42" s="121">
        <f t="shared" si="11"/>
        <v>0</v>
      </c>
      <c r="O42" s="121">
        <f t="shared" si="12"/>
        <v>0</v>
      </c>
      <c r="P42" s="123">
        <f t="shared" si="13"/>
        <v>0</v>
      </c>
    </row>
    <row r="43" spans="1:21" ht="39.6" x14ac:dyDescent="0.2">
      <c r="A43" s="113">
        <v>4</v>
      </c>
      <c r="B43" s="134" t="s">
        <v>60</v>
      </c>
      <c r="C43" s="108" t="s">
        <v>179</v>
      </c>
      <c r="D43" s="135" t="s">
        <v>64</v>
      </c>
      <c r="E43" s="109">
        <v>11</v>
      </c>
      <c r="F43" s="120"/>
      <c r="G43" s="121"/>
      <c r="H43" s="122">
        <f t="shared" si="7"/>
        <v>0</v>
      </c>
      <c r="I43" s="121"/>
      <c r="J43" s="121"/>
      <c r="K43" s="179">
        <f t="shared" si="8"/>
        <v>0</v>
      </c>
      <c r="L43" s="184">
        <f t="shared" si="9"/>
        <v>0</v>
      </c>
      <c r="M43" s="121">
        <f t="shared" si="10"/>
        <v>0</v>
      </c>
      <c r="N43" s="121">
        <f t="shared" si="11"/>
        <v>0</v>
      </c>
      <c r="O43" s="121">
        <f t="shared" si="12"/>
        <v>0</v>
      </c>
      <c r="P43" s="123">
        <f t="shared" si="13"/>
        <v>0</v>
      </c>
    </row>
    <row r="44" spans="1:21" ht="13.2" x14ac:dyDescent="0.2">
      <c r="A44" s="113">
        <v>5</v>
      </c>
      <c r="B44" s="134" t="s">
        <v>60</v>
      </c>
      <c r="C44" s="108" t="s">
        <v>181</v>
      </c>
      <c r="D44" s="135" t="s">
        <v>62</v>
      </c>
      <c r="E44" s="109">
        <v>4.4000000000000004</v>
      </c>
      <c r="F44" s="120"/>
      <c r="G44" s="121"/>
      <c r="H44" s="122">
        <f t="shared" si="7"/>
        <v>0</v>
      </c>
      <c r="I44" s="121"/>
      <c r="J44" s="121"/>
      <c r="K44" s="179">
        <f t="shared" si="8"/>
        <v>0</v>
      </c>
      <c r="L44" s="184">
        <f t="shared" si="9"/>
        <v>0</v>
      </c>
      <c r="M44" s="121">
        <f t="shared" si="10"/>
        <v>0</v>
      </c>
      <c r="N44" s="121">
        <f t="shared" si="11"/>
        <v>0</v>
      </c>
      <c r="O44" s="121">
        <f t="shared" si="12"/>
        <v>0</v>
      </c>
      <c r="P44" s="123">
        <f t="shared" si="13"/>
        <v>0</v>
      </c>
    </row>
    <row r="45" spans="1:21" ht="39.6" x14ac:dyDescent="0.2">
      <c r="A45" s="113">
        <v>6</v>
      </c>
      <c r="B45" s="134" t="s">
        <v>60</v>
      </c>
      <c r="C45" s="108" t="s">
        <v>182</v>
      </c>
      <c r="D45" s="135" t="s">
        <v>62</v>
      </c>
      <c r="E45" s="109">
        <v>30.2</v>
      </c>
      <c r="F45" s="120"/>
      <c r="G45" s="121"/>
      <c r="H45" s="122">
        <f t="shared" si="7"/>
        <v>0</v>
      </c>
      <c r="I45" s="121"/>
      <c r="J45" s="121"/>
      <c r="K45" s="179">
        <f t="shared" si="8"/>
        <v>0</v>
      </c>
      <c r="L45" s="184">
        <f t="shared" si="9"/>
        <v>0</v>
      </c>
      <c r="M45" s="121">
        <f t="shared" si="10"/>
        <v>0</v>
      </c>
      <c r="N45" s="121">
        <f t="shared" si="11"/>
        <v>0</v>
      </c>
      <c r="O45" s="121">
        <f t="shared" si="12"/>
        <v>0</v>
      </c>
      <c r="P45" s="123">
        <f t="shared" si="13"/>
        <v>0</v>
      </c>
    </row>
    <row r="46" spans="1:21" ht="13.2" x14ac:dyDescent="0.2">
      <c r="A46" s="113">
        <v>7</v>
      </c>
      <c r="B46" s="106" t="s">
        <v>60</v>
      </c>
      <c r="C46" s="108" t="s">
        <v>176</v>
      </c>
      <c r="D46" s="135" t="s">
        <v>64</v>
      </c>
      <c r="E46" s="109">
        <v>2</v>
      </c>
      <c r="F46" s="120"/>
      <c r="G46" s="121"/>
      <c r="H46" s="122">
        <f t="shared" si="7"/>
        <v>0</v>
      </c>
      <c r="I46" s="121"/>
      <c r="J46" s="121"/>
      <c r="K46" s="179">
        <f t="shared" si="8"/>
        <v>0</v>
      </c>
      <c r="L46" s="184">
        <f t="shared" si="9"/>
        <v>0</v>
      </c>
      <c r="M46" s="121">
        <f t="shared" si="10"/>
        <v>0</v>
      </c>
      <c r="N46" s="121">
        <f t="shared" si="11"/>
        <v>0</v>
      </c>
      <c r="O46" s="121">
        <f t="shared" si="12"/>
        <v>0</v>
      </c>
      <c r="P46" s="123">
        <f t="shared" si="13"/>
        <v>0</v>
      </c>
    </row>
    <row r="47" spans="1:21" ht="26.4" x14ac:dyDescent="0.2">
      <c r="A47" s="113">
        <v>8</v>
      </c>
      <c r="B47" s="134" t="s">
        <v>60</v>
      </c>
      <c r="C47" s="108" t="s">
        <v>183</v>
      </c>
      <c r="D47" s="135" t="s">
        <v>64</v>
      </c>
      <c r="E47" s="109">
        <v>4</v>
      </c>
      <c r="F47" s="120"/>
      <c r="G47" s="121"/>
      <c r="H47" s="122">
        <f t="shared" si="7"/>
        <v>0</v>
      </c>
      <c r="I47" s="121"/>
      <c r="J47" s="121"/>
      <c r="K47" s="179">
        <f t="shared" si="8"/>
        <v>0</v>
      </c>
      <c r="L47" s="184">
        <f t="shared" si="9"/>
        <v>0</v>
      </c>
      <c r="M47" s="121">
        <f t="shared" si="10"/>
        <v>0</v>
      </c>
      <c r="N47" s="121">
        <f t="shared" si="11"/>
        <v>0</v>
      </c>
      <c r="O47" s="121">
        <f t="shared" si="12"/>
        <v>0</v>
      </c>
      <c r="P47" s="123">
        <f t="shared" si="13"/>
        <v>0</v>
      </c>
    </row>
    <row r="48" spans="1:21" ht="13.2" x14ac:dyDescent="0.2">
      <c r="A48" s="113">
        <v>9</v>
      </c>
      <c r="B48" s="134" t="s">
        <v>60</v>
      </c>
      <c r="C48" s="108" t="s">
        <v>184</v>
      </c>
      <c r="D48" s="135" t="s">
        <v>64</v>
      </c>
      <c r="E48" s="109">
        <v>11</v>
      </c>
      <c r="F48" s="120"/>
      <c r="G48" s="121"/>
      <c r="H48" s="122">
        <f t="shared" si="7"/>
        <v>0</v>
      </c>
      <c r="I48" s="121"/>
      <c r="J48" s="121"/>
      <c r="K48" s="179">
        <f t="shared" si="8"/>
        <v>0</v>
      </c>
      <c r="L48" s="184">
        <f t="shared" si="9"/>
        <v>0</v>
      </c>
      <c r="M48" s="121">
        <f t="shared" si="10"/>
        <v>0</v>
      </c>
      <c r="N48" s="121">
        <f t="shared" si="11"/>
        <v>0</v>
      </c>
      <c r="O48" s="121">
        <f t="shared" si="12"/>
        <v>0</v>
      </c>
      <c r="P48" s="123">
        <f t="shared" si="13"/>
        <v>0</v>
      </c>
    </row>
    <row r="49" spans="1:16" ht="13.2" x14ac:dyDescent="0.2">
      <c r="A49" s="113">
        <v>10</v>
      </c>
      <c r="B49" s="134" t="s">
        <v>60</v>
      </c>
      <c r="C49" s="108" t="s">
        <v>185</v>
      </c>
      <c r="D49" s="135" t="s">
        <v>64</v>
      </c>
      <c r="E49" s="109">
        <v>11</v>
      </c>
      <c r="F49" s="120"/>
      <c r="G49" s="121"/>
      <c r="H49" s="122">
        <f t="shared" si="7"/>
        <v>0</v>
      </c>
      <c r="I49" s="121"/>
      <c r="J49" s="121"/>
      <c r="K49" s="179">
        <f t="shared" si="8"/>
        <v>0</v>
      </c>
      <c r="L49" s="184">
        <f t="shared" si="9"/>
        <v>0</v>
      </c>
      <c r="M49" s="121">
        <f t="shared" si="10"/>
        <v>0</v>
      </c>
      <c r="N49" s="121">
        <f t="shared" si="11"/>
        <v>0</v>
      </c>
      <c r="O49" s="121">
        <f t="shared" si="12"/>
        <v>0</v>
      </c>
      <c r="P49" s="123">
        <f t="shared" si="13"/>
        <v>0</v>
      </c>
    </row>
    <row r="50" spans="1:16" ht="39.6" x14ac:dyDescent="0.2">
      <c r="A50" s="113">
        <v>11</v>
      </c>
      <c r="B50" s="134" t="s">
        <v>60</v>
      </c>
      <c r="C50" s="108" t="s">
        <v>186</v>
      </c>
      <c r="D50" s="135" t="s">
        <v>68</v>
      </c>
      <c r="E50" s="109">
        <v>1</v>
      </c>
      <c r="F50" s="120"/>
      <c r="G50" s="121"/>
      <c r="H50" s="122">
        <f t="shared" si="7"/>
        <v>0</v>
      </c>
      <c r="I50" s="121"/>
      <c r="J50" s="121"/>
      <c r="K50" s="179">
        <f t="shared" si="8"/>
        <v>0</v>
      </c>
      <c r="L50" s="184">
        <f t="shared" si="9"/>
        <v>0</v>
      </c>
      <c r="M50" s="121">
        <f t="shared" si="10"/>
        <v>0</v>
      </c>
      <c r="N50" s="121">
        <f t="shared" si="11"/>
        <v>0</v>
      </c>
      <c r="O50" s="121">
        <f t="shared" si="12"/>
        <v>0</v>
      </c>
      <c r="P50" s="123">
        <f t="shared" si="13"/>
        <v>0</v>
      </c>
    </row>
    <row r="51" spans="1:16" ht="13.2" x14ac:dyDescent="0.2">
      <c r="A51" s="113">
        <v>12</v>
      </c>
      <c r="B51" s="134" t="s">
        <v>60</v>
      </c>
      <c r="C51" s="108" t="s">
        <v>171</v>
      </c>
      <c r="D51" s="135" t="s">
        <v>64</v>
      </c>
      <c r="E51" s="109">
        <v>1</v>
      </c>
      <c r="F51" s="120"/>
      <c r="G51" s="121"/>
      <c r="H51" s="122">
        <f t="shared" si="7"/>
        <v>0</v>
      </c>
      <c r="I51" s="121"/>
      <c r="J51" s="121"/>
      <c r="K51" s="179">
        <f t="shared" si="8"/>
        <v>0</v>
      </c>
      <c r="L51" s="184">
        <f t="shared" si="9"/>
        <v>0</v>
      </c>
      <c r="M51" s="121">
        <f t="shared" si="10"/>
        <v>0</v>
      </c>
      <c r="N51" s="121">
        <f t="shared" si="11"/>
        <v>0</v>
      </c>
      <c r="O51" s="121">
        <f t="shared" si="12"/>
        <v>0</v>
      </c>
      <c r="P51" s="123">
        <f t="shared" si="13"/>
        <v>0</v>
      </c>
    </row>
    <row r="52" spans="1:16" ht="26.4" x14ac:dyDescent="0.2">
      <c r="A52" s="113">
        <v>13</v>
      </c>
      <c r="B52" s="134" t="s">
        <v>60</v>
      </c>
      <c r="C52" s="108" t="s">
        <v>187</v>
      </c>
      <c r="D52" s="135" t="s">
        <v>73</v>
      </c>
      <c r="E52" s="109">
        <v>1.8</v>
      </c>
      <c r="F52" s="120"/>
      <c r="G52" s="121"/>
      <c r="H52" s="122">
        <f t="shared" si="7"/>
        <v>0</v>
      </c>
      <c r="I52" s="121"/>
      <c r="J52" s="121"/>
      <c r="K52" s="179">
        <f t="shared" si="8"/>
        <v>0</v>
      </c>
      <c r="L52" s="184">
        <f t="shared" si="9"/>
        <v>0</v>
      </c>
      <c r="M52" s="121">
        <f t="shared" si="10"/>
        <v>0</v>
      </c>
      <c r="N52" s="121">
        <f t="shared" si="11"/>
        <v>0</v>
      </c>
      <c r="O52" s="121">
        <f t="shared" si="12"/>
        <v>0</v>
      </c>
      <c r="P52" s="123">
        <f t="shared" si="13"/>
        <v>0</v>
      </c>
    </row>
    <row r="53" spans="1:16" ht="13.2" x14ac:dyDescent="0.2">
      <c r="A53" s="113">
        <v>14</v>
      </c>
      <c r="B53" s="106" t="s">
        <v>60</v>
      </c>
      <c r="C53" s="108" t="s">
        <v>188</v>
      </c>
      <c r="D53" s="135" t="s">
        <v>68</v>
      </c>
      <c r="E53" s="109">
        <v>2</v>
      </c>
      <c r="F53" s="120"/>
      <c r="G53" s="121"/>
      <c r="H53" s="122">
        <f t="shared" si="7"/>
        <v>0</v>
      </c>
      <c r="I53" s="121"/>
      <c r="J53" s="121"/>
      <c r="K53" s="179">
        <f t="shared" si="8"/>
        <v>0</v>
      </c>
      <c r="L53" s="184">
        <f t="shared" si="9"/>
        <v>0</v>
      </c>
      <c r="M53" s="121">
        <f t="shared" si="10"/>
        <v>0</v>
      </c>
      <c r="N53" s="121">
        <f t="shared" si="11"/>
        <v>0</v>
      </c>
      <c r="O53" s="121">
        <f t="shared" si="12"/>
        <v>0</v>
      </c>
      <c r="P53" s="123">
        <f t="shared" si="13"/>
        <v>0</v>
      </c>
    </row>
    <row r="54" spans="1:16" ht="13.2" x14ac:dyDescent="0.2">
      <c r="A54" s="113">
        <v>15</v>
      </c>
      <c r="B54" s="134" t="s">
        <v>60</v>
      </c>
      <c r="C54" s="108" t="s">
        <v>189</v>
      </c>
      <c r="D54" s="135" t="s">
        <v>68</v>
      </c>
      <c r="E54" s="109">
        <v>1</v>
      </c>
      <c r="F54" s="120"/>
      <c r="G54" s="121"/>
      <c r="H54" s="122">
        <f t="shared" si="7"/>
        <v>0</v>
      </c>
      <c r="I54" s="121"/>
      <c r="J54" s="121"/>
      <c r="K54" s="179">
        <f t="shared" si="8"/>
        <v>0</v>
      </c>
      <c r="L54" s="184">
        <f t="shared" si="9"/>
        <v>0</v>
      </c>
      <c r="M54" s="121">
        <f t="shared" si="10"/>
        <v>0</v>
      </c>
      <c r="N54" s="121">
        <f t="shared" si="11"/>
        <v>0</v>
      </c>
      <c r="O54" s="121">
        <f t="shared" si="12"/>
        <v>0</v>
      </c>
      <c r="P54" s="123">
        <f t="shared" si="13"/>
        <v>0</v>
      </c>
    </row>
    <row r="55" spans="1:16" ht="26.4" x14ac:dyDescent="0.2">
      <c r="A55" s="113">
        <v>16</v>
      </c>
      <c r="B55" s="134" t="s">
        <v>60</v>
      </c>
      <c r="C55" s="108" t="s">
        <v>190</v>
      </c>
      <c r="D55" s="135" t="s">
        <v>73</v>
      </c>
      <c r="E55" s="109">
        <v>9.5</v>
      </c>
      <c r="F55" s="120"/>
      <c r="G55" s="121"/>
      <c r="H55" s="122">
        <f t="shared" si="7"/>
        <v>0</v>
      </c>
      <c r="I55" s="121"/>
      <c r="J55" s="121"/>
      <c r="K55" s="179">
        <f t="shared" si="8"/>
        <v>0</v>
      </c>
      <c r="L55" s="184">
        <f t="shared" si="9"/>
        <v>0</v>
      </c>
      <c r="M55" s="121">
        <f t="shared" si="10"/>
        <v>0</v>
      </c>
      <c r="N55" s="121">
        <f t="shared" si="11"/>
        <v>0</v>
      </c>
      <c r="O55" s="121">
        <f t="shared" si="12"/>
        <v>0</v>
      </c>
      <c r="P55" s="123">
        <f t="shared" si="13"/>
        <v>0</v>
      </c>
    </row>
    <row r="56" spans="1:16" ht="39.6" x14ac:dyDescent="0.2">
      <c r="A56" s="113">
        <v>17</v>
      </c>
      <c r="B56" s="134" t="s">
        <v>60</v>
      </c>
      <c r="C56" s="108" t="s">
        <v>191</v>
      </c>
      <c r="D56" s="135" t="s">
        <v>68</v>
      </c>
      <c r="E56" s="109">
        <v>1</v>
      </c>
      <c r="F56" s="120"/>
      <c r="G56" s="121"/>
      <c r="H56" s="122">
        <f t="shared" si="7"/>
        <v>0</v>
      </c>
      <c r="I56" s="121"/>
      <c r="J56" s="121"/>
      <c r="K56" s="179">
        <f t="shared" si="8"/>
        <v>0</v>
      </c>
      <c r="L56" s="184">
        <f t="shared" si="9"/>
        <v>0</v>
      </c>
      <c r="M56" s="121">
        <f t="shared" si="10"/>
        <v>0</v>
      </c>
      <c r="N56" s="121">
        <f t="shared" si="11"/>
        <v>0</v>
      </c>
      <c r="O56" s="121">
        <f t="shared" si="12"/>
        <v>0</v>
      </c>
      <c r="P56" s="123">
        <f t="shared" si="13"/>
        <v>0</v>
      </c>
    </row>
    <row r="57" spans="1:16" ht="26.4" x14ac:dyDescent="0.2">
      <c r="A57" s="113">
        <v>18</v>
      </c>
      <c r="B57" s="134" t="s">
        <v>60</v>
      </c>
      <c r="C57" s="108" t="s">
        <v>298</v>
      </c>
      <c r="D57" s="135" t="s">
        <v>73</v>
      </c>
      <c r="E57" s="109">
        <v>4.5</v>
      </c>
      <c r="F57" s="120"/>
      <c r="G57" s="121"/>
      <c r="H57" s="122">
        <f t="shared" si="7"/>
        <v>0</v>
      </c>
      <c r="I57" s="121"/>
      <c r="J57" s="121"/>
      <c r="K57" s="179">
        <f t="shared" si="8"/>
        <v>0</v>
      </c>
      <c r="L57" s="184">
        <f t="shared" si="9"/>
        <v>0</v>
      </c>
      <c r="M57" s="121">
        <f t="shared" si="10"/>
        <v>0</v>
      </c>
      <c r="N57" s="121">
        <f t="shared" si="11"/>
        <v>0</v>
      </c>
      <c r="O57" s="121">
        <f t="shared" si="12"/>
        <v>0</v>
      </c>
      <c r="P57" s="123">
        <f t="shared" si="13"/>
        <v>0</v>
      </c>
    </row>
    <row r="58" spans="1:16" ht="13.2" x14ac:dyDescent="0.2">
      <c r="A58" s="113">
        <v>19</v>
      </c>
      <c r="B58" s="134" t="s">
        <v>60</v>
      </c>
      <c r="C58" s="108" t="s">
        <v>175</v>
      </c>
      <c r="D58" s="135" t="s">
        <v>62</v>
      </c>
      <c r="E58" s="109">
        <v>19.5</v>
      </c>
      <c r="F58" s="120"/>
      <c r="G58" s="121"/>
      <c r="H58" s="122">
        <f t="shared" si="7"/>
        <v>0</v>
      </c>
      <c r="I58" s="121"/>
      <c r="J58" s="121"/>
      <c r="K58" s="179">
        <f t="shared" si="8"/>
        <v>0</v>
      </c>
      <c r="L58" s="184">
        <f t="shared" si="9"/>
        <v>0</v>
      </c>
      <c r="M58" s="121">
        <f t="shared" si="10"/>
        <v>0</v>
      </c>
      <c r="N58" s="121">
        <f t="shared" si="11"/>
        <v>0</v>
      </c>
      <c r="O58" s="121">
        <f t="shared" si="12"/>
        <v>0</v>
      </c>
      <c r="P58" s="123">
        <f t="shared" si="13"/>
        <v>0</v>
      </c>
    </row>
    <row r="59" spans="1:16" ht="26.4" x14ac:dyDescent="0.2">
      <c r="A59" s="113">
        <v>20</v>
      </c>
      <c r="B59" s="134" t="s">
        <v>60</v>
      </c>
      <c r="C59" s="108" t="s">
        <v>192</v>
      </c>
      <c r="D59" s="135" t="s">
        <v>62</v>
      </c>
      <c r="E59" s="109">
        <v>44.4</v>
      </c>
      <c r="F59" s="120"/>
      <c r="G59" s="121"/>
      <c r="H59" s="122">
        <f t="shared" si="7"/>
        <v>0</v>
      </c>
      <c r="I59" s="121"/>
      <c r="J59" s="121"/>
      <c r="K59" s="179">
        <f t="shared" si="8"/>
        <v>0</v>
      </c>
      <c r="L59" s="184">
        <f t="shared" si="9"/>
        <v>0</v>
      </c>
      <c r="M59" s="121">
        <f t="shared" si="10"/>
        <v>0</v>
      </c>
      <c r="N59" s="121">
        <f t="shared" si="11"/>
        <v>0</v>
      </c>
      <c r="O59" s="121">
        <f t="shared" si="12"/>
        <v>0</v>
      </c>
      <c r="P59" s="123">
        <f t="shared" si="13"/>
        <v>0</v>
      </c>
    </row>
    <row r="60" spans="1:16" ht="39.6" x14ac:dyDescent="0.2">
      <c r="A60" s="113">
        <v>21</v>
      </c>
      <c r="B60" s="134" t="s">
        <v>60</v>
      </c>
      <c r="C60" s="108" t="s">
        <v>193</v>
      </c>
      <c r="D60" s="135" t="s">
        <v>68</v>
      </c>
      <c r="E60" s="109">
        <v>1</v>
      </c>
      <c r="F60" s="120"/>
      <c r="G60" s="121"/>
      <c r="H60" s="122">
        <f t="shared" si="7"/>
        <v>0</v>
      </c>
      <c r="I60" s="121"/>
      <c r="J60" s="121"/>
      <c r="K60" s="179">
        <f t="shared" si="8"/>
        <v>0</v>
      </c>
      <c r="L60" s="184">
        <f t="shared" si="9"/>
        <v>0</v>
      </c>
      <c r="M60" s="121">
        <f t="shared" si="10"/>
        <v>0</v>
      </c>
      <c r="N60" s="121">
        <f t="shared" si="11"/>
        <v>0</v>
      </c>
      <c r="O60" s="121">
        <f t="shared" si="12"/>
        <v>0</v>
      </c>
      <c r="P60" s="123">
        <f t="shared" si="13"/>
        <v>0</v>
      </c>
    </row>
    <row r="61" spans="1:16" ht="26.4" x14ac:dyDescent="0.2">
      <c r="A61" s="113">
        <v>22</v>
      </c>
      <c r="B61" s="134" t="s">
        <v>60</v>
      </c>
      <c r="C61" s="108" t="s">
        <v>194</v>
      </c>
      <c r="D61" s="135" t="s">
        <v>68</v>
      </c>
      <c r="E61" s="109">
        <v>1</v>
      </c>
      <c r="F61" s="120"/>
      <c r="G61" s="121"/>
      <c r="H61" s="122">
        <f t="shared" si="7"/>
        <v>0</v>
      </c>
      <c r="I61" s="121"/>
      <c r="J61" s="121"/>
      <c r="K61" s="179">
        <f t="shared" si="8"/>
        <v>0</v>
      </c>
      <c r="L61" s="184">
        <f t="shared" si="9"/>
        <v>0</v>
      </c>
      <c r="M61" s="121">
        <f t="shared" si="10"/>
        <v>0</v>
      </c>
      <c r="N61" s="121">
        <f t="shared" si="11"/>
        <v>0</v>
      </c>
      <c r="O61" s="121">
        <f t="shared" si="12"/>
        <v>0</v>
      </c>
      <c r="P61" s="123">
        <f t="shared" si="13"/>
        <v>0</v>
      </c>
    </row>
    <row r="62" spans="1:16" ht="39.6" x14ac:dyDescent="0.2">
      <c r="A62" s="113">
        <v>23</v>
      </c>
      <c r="B62" s="134" t="s">
        <v>60</v>
      </c>
      <c r="C62" s="108" t="s">
        <v>195</v>
      </c>
      <c r="D62" s="135" t="s">
        <v>62</v>
      </c>
      <c r="E62" s="109">
        <v>11.4</v>
      </c>
      <c r="F62" s="120"/>
      <c r="G62" s="121"/>
      <c r="H62" s="122">
        <f t="shared" si="7"/>
        <v>0</v>
      </c>
      <c r="I62" s="121"/>
      <c r="J62" s="121"/>
      <c r="K62" s="179">
        <f t="shared" si="8"/>
        <v>0</v>
      </c>
      <c r="L62" s="184">
        <f t="shared" si="9"/>
        <v>0</v>
      </c>
      <c r="M62" s="121">
        <f t="shared" si="10"/>
        <v>0</v>
      </c>
      <c r="N62" s="121">
        <f t="shared" si="11"/>
        <v>0</v>
      </c>
      <c r="O62" s="121">
        <f t="shared" si="12"/>
        <v>0</v>
      </c>
      <c r="P62" s="123">
        <f t="shared" si="13"/>
        <v>0</v>
      </c>
    </row>
    <row r="63" spans="1:16" ht="39.6" x14ac:dyDescent="0.2">
      <c r="A63" s="113">
        <v>24</v>
      </c>
      <c r="B63" s="134" t="s">
        <v>60</v>
      </c>
      <c r="C63" s="108" t="s">
        <v>196</v>
      </c>
      <c r="D63" s="135" t="s">
        <v>73</v>
      </c>
      <c r="E63" s="109">
        <v>8</v>
      </c>
      <c r="F63" s="120"/>
      <c r="G63" s="121"/>
      <c r="H63" s="122">
        <f t="shared" si="7"/>
        <v>0</v>
      </c>
      <c r="I63" s="121"/>
      <c r="J63" s="121"/>
      <c r="K63" s="179">
        <f t="shared" si="8"/>
        <v>0</v>
      </c>
      <c r="L63" s="184">
        <f t="shared" si="9"/>
        <v>0</v>
      </c>
      <c r="M63" s="121">
        <f t="shared" si="10"/>
        <v>0</v>
      </c>
      <c r="N63" s="121">
        <f t="shared" si="11"/>
        <v>0</v>
      </c>
      <c r="O63" s="121">
        <f t="shared" si="12"/>
        <v>0</v>
      </c>
      <c r="P63" s="123">
        <f t="shared" si="13"/>
        <v>0</v>
      </c>
    </row>
    <row r="64" spans="1:16" ht="39.6" x14ac:dyDescent="0.2">
      <c r="A64" s="113">
        <v>25</v>
      </c>
      <c r="B64" s="134" t="s">
        <v>60</v>
      </c>
      <c r="C64" s="108" t="s">
        <v>197</v>
      </c>
      <c r="D64" s="135" t="s">
        <v>64</v>
      </c>
      <c r="E64" s="109">
        <v>1</v>
      </c>
      <c r="F64" s="120"/>
      <c r="G64" s="121"/>
      <c r="H64" s="122">
        <f t="shared" si="7"/>
        <v>0</v>
      </c>
      <c r="I64" s="121"/>
      <c r="J64" s="121"/>
      <c r="K64" s="179">
        <f t="shared" si="8"/>
        <v>0</v>
      </c>
      <c r="L64" s="184">
        <f t="shared" si="9"/>
        <v>0</v>
      </c>
      <c r="M64" s="121">
        <f t="shared" si="10"/>
        <v>0</v>
      </c>
      <c r="N64" s="121">
        <f t="shared" si="11"/>
        <v>0</v>
      </c>
      <c r="O64" s="121">
        <f t="shared" si="12"/>
        <v>0</v>
      </c>
      <c r="P64" s="123">
        <f t="shared" si="13"/>
        <v>0</v>
      </c>
    </row>
    <row r="65" spans="1:16" ht="13.2" x14ac:dyDescent="0.2">
      <c r="A65" s="113">
        <v>26</v>
      </c>
      <c r="B65" s="134" t="s">
        <v>60</v>
      </c>
      <c r="C65" s="108" t="s">
        <v>86</v>
      </c>
      <c r="D65" s="135" t="s">
        <v>87</v>
      </c>
      <c r="E65" s="109">
        <v>8</v>
      </c>
      <c r="F65" s="120"/>
      <c r="G65" s="121"/>
      <c r="H65" s="122">
        <f t="shared" si="7"/>
        <v>0</v>
      </c>
      <c r="I65" s="121"/>
      <c r="J65" s="121"/>
      <c r="K65" s="179">
        <f t="shared" si="8"/>
        <v>0</v>
      </c>
      <c r="L65" s="184">
        <f t="shared" si="9"/>
        <v>0</v>
      </c>
      <c r="M65" s="121">
        <f t="shared" si="10"/>
        <v>0</v>
      </c>
      <c r="N65" s="121">
        <f t="shared" si="11"/>
        <v>0</v>
      </c>
      <c r="O65" s="121">
        <f t="shared" si="12"/>
        <v>0</v>
      </c>
      <c r="P65" s="123">
        <f t="shared" si="13"/>
        <v>0</v>
      </c>
    </row>
    <row r="66" spans="1:16" ht="26.4" x14ac:dyDescent="0.2">
      <c r="A66" s="113">
        <v>27</v>
      </c>
      <c r="B66" s="134" t="s">
        <v>60</v>
      </c>
      <c r="C66" s="108" t="s">
        <v>88</v>
      </c>
      <c r="D66" s="135" t="s">
        <v>89</v>
      </c>
      <c r="E66" s="109">
        <f>E43*6*0.82*0.08*5</f>
        <v>21.648</v>
      </c>
      <c r="F66" s="120"/>
      <c r="G66" s="121"/>
      <c r="H66" s="122"/>
      <c r="I66" s="121"/>
      <c r="J66" s="121"/>
      <c r="K66" s="179">
        <f t="shared" si="8"/>
        <v>0</v>
      </c>
      <c r="L66" s="184">
        <f t="shared" si="9"/>
        <v>0</v>
      </c>
      <c r="M66" s="121">
        <f t="shared" si="10"/>
        <v>0</v>
      </c>
      <c r="N66" s="121">
        <f t="shared" si="11"/>
        <v>0</v>
      </c>
      <c r="O66" s="121">
        <f t="shared" si="12"/>
        <v>0</v>
      </c>
      <c r="P66" s="123">
        <f t="shared" si="13"/>
        <v>0</v>
      </c>
    </row>
    <row r="67" spans="1:16" ht="13.2" x14ac:dyDescent="0.2">
      <c r="A67" s="115"/>
      <c r="B67" s="106"/>
      <c r="C67" s="136" t="s">
        <v>91</v>
      </c>
      <c r="D67" s="116"/>
      <c r="E67" s="137"/>
      <c r="F67" s="120"/>
      <c r="G67" s="121"/>
      <c r="H67" s="122"/>
      <c r="I67" s="121"/>
      <c r="J67" s="121"/>
      <c r="K67" s="179"/>
      <c r="L67" s="184"/>
      <c r="M67" s="121"/>
      <c r="N67" s="121"/>
      <c r="O67" s="121"/>
      <c r="P67" s="123"/>
    </row>
    <row r="68" spans="1:16" ht="26.4" x14ac:dyDescent="0.2">
      <c r="A68" s="113">
        <v>1</v>
      </c>
      <c r="B68" s="134" t="s">
        <v>60</v>
      </c>
      <c r="C68" s="108" t="s">
        <v>158</v>
      </c>
      <c r="D68" s="135" t="s">
        <v>62</v>
      </c>
      <c r="E68" s="109">
        <v>2</v>
      </c>
      <c r="F68" s="120"/>
      <c r="G68" s="121"/>
      <c r="H68" s="122">
        <f t="shared" ref="H68:H100" si="14">ROUND(F68*G68,2)</f>
        <v>0</v>
      </c>
      <c r="I68" s="121"/>
      <c r="J68" s="121"/>
      <c r="K68" s="179">
        <f t="shared" ref="K68:K101" si="15">ROUND(H68+J68+I68,2)</f>
        <v>0</v>
      </c>
      <c r="L68" s="184">
        <f t="shared" ref="L68:L101" si="16">ROUND(E68*F68,2)</f>
        <v>0</v>
      </c>
      <c r="M68" s="121">
        <f t="shared" ref="M68:M101" si="17">ROUND(E68*H68,2)</f>
        <v>0</v>
      </c>
      <c r="N68" s="121">
        <f t="shared" ref="N68:N101" si="18">ROUND(E68*I68,2)</f>
        <v>0</v>
      </c>
      <c r="O68" s="121">
        <f t="shared" ref="O68:O101" si="19">ROUND(E68*J68,2)</f>
        <v>0</v>
      </c>
      <c r="P68" s="123">
        <f t="shared" ref="P68:P101" si="20">ROUND(O68+N68+M68,2)</f>
        <v>0</v>
      </c>
    </row>
    <row r="69" spans="1:16" ht="79.2" x14ac:dyDescent="0.2">
      <c r="A69" s="113">
        <v>2</v>
      </c>
      <c r="B69" s="134" t="s">
        <v>60</v>
      </c>
      <c r="C69" s="108" t="s">
        <v>198</v>
      </c>
      <c r="D69" s="135" t="s">
        <v>62</v>
      </c>
      <c r="E69" s="109">
        <v>14.1</v>
      </c>
      <c r="F69" s="120"/>
      <c r="G69" s="121"/>
      <c r="H69" s="122">
        <f t="shared" si="14"/>
        <v>0</v>
      </c>
      <c r="I69" s="121"/>
      <c r="J69" s="121"/>
      <c r="K69" s="179">
        <f t="shared" si="15"/>
        <v>0</v>
      </c>
      <c r="L69" s="184">
        <f t="shared" si="16"/>
        <v>0</v>
      </c>
      <c r="M69" s="121">
        <f t="shared" si="17"/>
        <v>0</v>
      </c>
      <c r="N69" s="121">
        <f t="shared" si="18"/>
        <v>0</v>
      </c>
      <c r="O69" s="121">
        <f t="shared" si="19"/>
        <v>0</v>
      </c>
      <c r="P69" s="123">
        <f t="shared" si="20"/>
        <v>0</v>
      </c>
    </row>
    <row r="70" spans="1:16" ht="13.2" x14ac:dyDescent="0.2">
      <c r="A70" s="113">
        <v>3</v>
      </c>
      <c r="B70" s="134" t="s">
        <v>60</v>
      </c>
      <c r="C70" s="108" t="s">
        <v>199</v>
      </c>
      <c r="D70" s="135" t="s">
        <v>68</v>
      </c>
      <c r="E70" s="109">
        <v>2</v>
      </c>
      <c r="F70" s="120"/>
      <c r="G70" s="121"/>
      <c r="H70" s="122">
        <f t="shared" si="14"/>
        <v>0</v>
      </c>
      <c r="I70" s="121"/>
      <c r="J70" s="121"/>
      <c r="K70" s="179">
        <f t="shared" si="15"/>
        <v>0</v>
      </c>
      <c r="L70" s="184">
        <f t="shared" si="16"/>
        <v>0</v>
      </c>
      <c r="M70" s="121">
        <f t="shared" si="17"/>
        <v>0</v>
      </c>
      <c r="N70" s="121">
        <f t="shared" si="18"/>
        <v>0</v>
      </c>
      <c r="O70" s="121">
        <f t="shared" si="19"/>
        <v>0</v>
      </c>
      <c r="P70" s="123">
        <f t="shared" si="20"/>
        <v>0</v>
      </c>
    </row>
    <row r="71" spans="1:16" ht="13.2" x14ac:dyDescent="0.2">
      <c r="A71" s="113">
        <v>4</v>
      </c>
      <c r="B71" s="134" t="s">
        <v>60</v>
      </c>
      <c r="C71" s="108" t="s">
        <v>162</v>
      </c>
      <c r="D71" s="135" t="s">
        <v>62</v>
      </c>
      <c r="E71" s="109">
        <v>38.5</v>
      </c>
      <c r="F71" s="120"/>
      <c r="G71" s="121"/>
      <c r="H71" s="122">
        <f t="shared" si="14"/>
        <v>0</v>
      </c>
      <c r="I71" s="121"/>
      <c r="J71" s="121"/>
      <c r="K71" s="179">
        <f t="shared" si="15"/>
        <v>0</v>
      </c>
      <c r="L71" s="184">
        <f t="shared" si="16"/>
        <v>0</v>
      </c>
      <c r="M71" s="121">
        <f t="shared" si="17"/>
        <v>0</v>
      </c>
      <c r="N71" s="121">
        <f t="shared" si="18"/>
        <v>0</v>
      </c>
      <c r="O71" s="121">
        <f t="shared" si="19"/>
        <v>0</v>
      </c>
      <c r="P71" s="123">
        <f t="shared" si="20"/>
        <v>0</v>
      </c>
    </row>
    <row r="72" spans="1:16" ht="13.2" x14ac:dyDescent="0.2">
      <c r="A72" s="113">
        <v>5</v>
      </c>
      <c r="B72" s="134" t="s">
        <v>60</v>
      </c>
      <c r="C72" s="108" t="s">
        <v>200</v>
      </c>
      <c r="D72" s="135" t="s">
        <v>62</v>
      </c>
      <c r="E72" s="109">
        <v>5.2</v>
      </c>
      <c r="F72" s="120"/>
      <c r="G72" s="121"/>
      <c r="H72" s="122">
        <f t="shared" si="14"/>
        <v>0</v>
      </c>
      <c r="I72" s="121"/>
      <c r="J72" s="121"/>
      <c r="K72" s="179">
        <f t="shared" si="15"/>
        <v>0</v>
      </c>
      <c r="L72" s="184">
        <f t="shared" si="16"/>
        <v>0</v>
      </c>
      <c r="M72" s="121">
        <f t="shared" si="17"/>
        <v>0</v>
      </c>
      <c r="N72" s="121">
        <f t="shared" si="18"/>
        <v>0</v>
      </c>
      <c r="O72" s="121">
        <f t="shared" si="19"/>
        <v>0</v>
      </c>
      <c r="P72" s="123">
        <f t="shared" si="20"/>
        <v>0</v>
      </c>
    </row>
    <row r="73" spans="1:16" ht="26.4" x14ac:dyDescent="0.2">
      <c r="A73" s="113">
        <v>6</v>
      </c>
      <c r="B73" s="134" t="s">
        <v>60</v>
      </c>
      <c r="C73" s="108" t="s">
        <v>165</v>
      </c>
      <c r="D73" s="135" t="s">
        <v>68</v>
      </c>
      <c r="E73" s="109">
        <v>5</v>
      </c>
      <c r="F73" s="120"/>
      <c r="G73" s="121"/>
      <c r="H73" s="122">
        <f t="shared" si="14"/>
        <v>0</v>
      </c>
      <c r="I73" s="121"/>
      <c r="J73" s="121"/>
      <c r="K73" s="179">
        <f t="shared" si="15"/>
        <v>0</v>
      </c>
      <c r="L73" s="184">
        <f t="shared" si="16"/>
        <v>0</v>
      </c>
      <c r="M73" s="121">
        <f t="shared" si="17"/>
        <v>0</v>
      </c>
      <c r="N73" s="121">
        <f t="shared" si="18"/>
        <v>0</v>
      </c>
      <c r="O73" s="121">
        <f t="shared" si="19"/>
        <v>0</v>
      </c>
      <c r="P73" s="123">
        <f t="shared" si="20"/>
        <v>0</v>
      </c>
    </row>
    <row r="74" spans="1:16" ht="66" x14ac:dyDescent="0.2">
      <c r="A74" s="113">
        <v>7</v>
      </c>
      <c r="B74" s="134" t="s">
        <v>60</v>
      </c>
      <c r="C74" s="108" t="s">
        <v>201</v>
      </c>
      <c r="D74" s="135" t="s">
        <v>68</v>
      </c>
      <c r="E74" s="109">
        <v>1</v>
      </c>
      <c r="F74" s="120"/>
      <c r="G74" s="121"/>
      <c r="H74" s="122">
        <f t="shared" si="14"/>
        <v>0</v>
      </c>
      <c r="I74" s="121"/>
      <c r="J74" s="121"/>
      <c r="K74" s="179">
        <f t="shared" si="15"/>
        <v>0</v>
      </c>
      <c r="L74" s="184">
        <f t="shared" si="16"/>
        <v>0</v>
      </c>
      <c r="M74" s="121">
        <f t="shared" si="17"/>
        <v>0</v>
      </c>
      <c r="N74" s="121">
        <f t="shared" si="18"/>
        <v>0</v>
      </c>
      <c r="O74" s="121">
        <f t="shared" si="19"/>
        <v>0</v>
      </c>
      <c r="P74" s="123">
        <f t="shared" si="20"/>
        <v>0</v>
      </c>
    </row>
    <row r="75" spans="1:16" ht="66" x14ac:dyDescent="0.2">
      <c r="A75" s="113">
        <v>8</v>
      </c>
      <c r="B75" s="134" t="s">
        <v>60</v>
      </c>
      <c r="C75" s="108" t="s">
        <v>202</v>
      </c>
      <c r="D75" s="135" t="s">
        <v>68</v>
      </c>
      <c r="E75" s="109">
        <v>1</v>
      </c>
      <c r="F75" s="120"/>
      <c r="G75" s="121"/>
      <c r="H75" s="122">
        <f t="shared" si="14"/>
        <v>0</v>
      </c>
      <c r="I75" s="121"/>
      <c r="J75" s="121"/>
      <c r="K75" s="179">
        <f t="shared" si="15"/>
        <v>0</v>
      </c>
      <c r="L75" s="184">
        <f t="shared" si="16"/>
        <v>0</v>
      </c>
      <c r="M75" s="121">
        <f t="shared" si="17"/>
        <v>0</v>
      </c>
      <c r="N75" s="121">
        <f t="shared" si="18"/>
        <v>0</v>
      </c>
      <c r="O75" s="121">
        <f t="shared" si="19"/>
        <v>0</v>
      </c>
      <c r="P75" s="123">
        <f t="shared" si="20"/>
        <v>0</v>
      </c>
    </row>
    <row r="76" spans="1:16" ht="52.8" x14ac:dyDescent="0.2">
      <c r="A76" s="113">
        <v>9</v>
      </c>
      <c r="B76" s="134" t="s">
        <v>60</v>
      </c>
      <c r="C76" s="108" t="s">
        <v>203</v>
      </c>
      <c r="D76" s="135" t="s">
        <v>64</v>
      </c>
      <c r="E76" s="109">
        <v>1</v>
      </c>
      <c r="F76" s="120"/>
      <c r="G76" s="121"/>
      <c r="H76" s="122">
        <f t="shared" si="14"/>
        <v>0</v>
      </c>
      <c r="I76" s="121"/>
      <c r="J76" s="121"/>
      <c r="K76" s="179">
        <f t="shared" si="15"/>
        <v>0</v>
      </c>
      <c r="L76" s="184">
        <f t="shared" si="16"/>
        <v>0</v>
      </c>
      <c r="M76" s="121">
        <f t="shared" si="17"/>
        <v>0</v>
      </c>
      <c r="N76" s="121">
        <f t="shared" si="18"/>
        <v>0</v>
      </c>
      <c r="O76" s="121">
        <f t="shared" si="19"/>
        <v>0</v>
      </c>
      <c r="P76" s="123">
        <f t="shared" si="20"/>
        <v>0</v>
      </c>
    </row>
    <row r="77" spans="1:16" ht="79.2" x14ac:dyDescent="0.2">
      <c r="A77" s="113">
        <v>10</v>
      </c>
      <c r="B77" s="134" t="s">
        <v>60</v>
      </c>
      <c r="C77" s="108" t="s">
        <v>204</v>
      </c>
      <c r="D77" s="135" t="s">
        <v>64</v>
      </c>
      <c r="E77" s="109">
        <v>1</v>
      </c>
      <c r="F77" s="120"/>
      <c r="G77" s="121"/>
      <c r="H77" s="122">
        <f t="shared" si="14"/>
        <v>0</v>
      </c>
      <c r="I77" s="121"/>
      <c r="J77" s="121"/>
      <c r="K77" s="179">
        <f t="shared" si="15"/>
        <v>0</v>
      </c>
      <c r="L77" s="184">
        <f t="shared" si="16"/>
        <v>0</v>
      </c>
      <c r="M77" s="121">
        <f t="shared" si="17"/>
        <v>0</v>
      </c>
      <c r="N77" s="121">
        <f t="shared" si="18"/>
        <v>0</v>
      </c>
      <c r="O77" s="121">
        <f t="shared" si="19"/>
        <v>0</v>
      </c>
      <c r="P77" s="123">
        <f t="shared" si="20"/>
        <v>0</v>
      </c>
    </row>
    <row r="78" spans="1:16" ht="52.8" x14ac:dyDescent="0.2">
      <c r="A78" s="113">
        <v>11</v>
      </c>
      <c r="B78" s="134" t="s">
        <v>60</v>
      </c>
      <c r="C78" s="108" t="s">
        <v>205</v>
      </c>
      <c r="D78" s="135" t="s">
        <v>64</v>
      </c>
      <c r="E78" s="109">
        <v>1</v>
      </c>
      <c r="F78" s="120"/>
      <c r="G78" s="121"/>
      <c r="H78" s="122">
        <f t="shared" si="14"/>
        <v>0</v>
      </c>
      <c r="I78" s="121"/>
      <c r="J78" s="121"/>
      <c r="K78" s="179">
        <f t="shared" si="15"/>
        <v>0</v>
      </c>
      <c r="L78" s="184">
        <f t="shared" si="16"/>
        <v>0</v>
      </c>
      <c r="M78" s="121">
        <f t="shared" si="17"/>
        <v>0</v>
      </c>
      <c r="N78" s="121">
        <f t="shared" si="18"/>
        <v>0</v>
      </c>
      <c r="O78" s="121">
        <f t="shared" si="19"/>
        <v>0</v>
      </c>
      <c r="P78" s="123">
        <f t="shared" si="20"/>
        <v>0</v>
      </c>
    </row>
    <row r="79" spans="1:16" ht="52.8" x14ac:dyDescent="0.2">
      <c r="A79" s="113">
        <v>12</v>
      </c>
      <c r="B79" s="134" t="s">
        <v>60</v>
      </c>
      <c r="C79" s="108" t="s">
        <v>206</v>
      </c>
      <c r="D79" s="135" t="s">
        <v>68</v>
      </c>
      <c r="E79" s="109">
        <v>2</v>
      </c>
      <c r="F79" s="120"/>
      <c r="G79" s="121"/>
      <c r="H79" s="122">
        <f t="shared" si="14"/>
        <v>0</v>
      </c>
      <c r="I79" s="121"/>
      <c r="J79" s="121"/>
      <c r="K79" s="179">
        <f t="shared" si="15"/>
        <v>0</v>
      </c>
      <c r="L79" s="184">
        <f t="shared" si="16"/>
        <v>0</v>
      </c>
      <c r="M79" s="121">
        <f t="shared" si="17"/>
        <v>0</v>
      </c>
      <c r="N79" s="121">
        <f t="shared" si="18"/>
        <v>0</v>
      </c>
      <c r="O79" s="121">
        <f t="shared" si="19"/>
        <v>0</v>
      </c>
      <c r="P79" s="123">
        <f t="shared" si="20"/>
        <v>0</v>
      </c>
    </row>
    <row r="80" spans="1:16" ht="39.6" x14ac:dyDescent="0.2">
      <c r="A80" s="113">
        <v>13</v>
      </c>
      <c r="B80" s="134" t="s">
        <v>60</v>
      </c>
      <c r="C80" s="108" t="s">
        <v>207</v>
      </c>
      <c r="D80" s="135" t="s">
        <v>73</v>
      </c>
      <c r="E80" s="109">
        <v>0.35</v>
      </c>
      <c r="F80" s="120"/>
      <c r="G80" s="121"/>
      <c r="H80" s="122">
        <f t="shared" si="14"/>
        <v>0</v>
      </c>
      <c r="I80" s="121"/>
      <c r="J80" s="121"/>
      <c r="K80" s="179">
        <f t="shared" si="15"/>
        <v>0</v>
      </c>
      <c r="L80" s="184">
        <f t="shared" si="16"/>
        <v>0</v>
      </c>
      <c r="M80" s="121">
        <f t="shared" si="17"/>
        <v>0</v>
      </c>
      <c r="N80" s="121">
        <f t="shared" si="18"/>
        <v>0</v>
      </c>
      <c r="O80" s="121">
        <f t="shared" si="19"/>
        <v>0</v>
      </c>
      <c r="P80" s="123">
        <f t="shared" si="20"/>
        <v>0</v>
      </c>
    </row>
    <row r="81" spans="1:16" ht="26.4" x14ac:dyDescent="0.2">
      <c r="A81" s="113">
        <v>14</v>
      </c>
      <c r="B81" s="134" t="s">
        <v>60</v>
      </c>
      <c r="C81" s="108" t="s">
        <v>208</v>
      </c>
      <c r="D81" s="135" t="s">
        <v>62</v>
      </c>
      <c r="E81" s="109">
        <v>3.8</v>
      </c>
      <c r="F81" s="120"/>
      <c r="G81" s="121"/>
      <c r="H81" s="122">
        <f t="shared" si="14"/>
        <v>0</v>
      </c>
      <c r="I81" s="121"/>
      <c r="J81" s="121"/>
      <c r="K81" s="179">
        <f t="shared" si="15"/>
        <v>0</v>
      </c>
      <c r="L81" s="184">
        <f t="shared" si="16"/>
        <v>0</v>
      </c>
      <c r="M81" s="121">
        <f t="shared" si="17"/>
        <v>0</v>
      </c>
      <c r="N81" s="121">
        <f t="shared" si="18"/>
        <v>0</v>
      </c>
      <c r="O81" s="121">
        <f t="shared" si="19"/>
        <v>0</v>
      </c>
      <c r="P81" s="123">
        <f t="shared" si="20"/>
        <v>0</v>
      </c>
    </row>
    <row r="82" spans="1:16" ht="26.4" x14ac:dyDescent="0.2">
      <c r="A82" s="113">
        <v>15</v>
      </c>
      <c r="B82" s="134" t="s">
        <v>60</v>
      </c>
      <c r="C82" s="108" t="s">
        <v>214</v>
      </c>
      <c r="D82" s="135" t="s">
        <v>62</v>
      </c>
      <c r="E82" s="109">
        <v>2.98</v>
      </c>
      <c r="F82" s="120"/>
      <c r="G82" s="121"/>
      <c r="H82" s="122">
        <f t="shared" si="14"/>
        <v>0</v>
      </c>
      <c r="I82" s="121"/>
      <c r="J82" s="121"/>
      <c r="K82" s="179">
        <f t="shared" si="15"/>
        <v>0</v>
      </c>
      <c r="L82" s="184">
        <f t="shared" si="16"/>
        <v>0</v>
      </c>
      <c r="M82" s="121">
        <f t="shared" si="17"/>
        <v>0</v>
      </c>
      <c r="N82" s="121">
        <f t="shared" si="18"/>
        <v>0</v>
      </c>
      <c r="O82" s="121">
        <f t="shared" si="19"/>
        <v>0</v>
      </c>
      <c r="P82" s="123">
        <f t="shared" si="20"/>
        <v>0</v>
      </c>
    </row>
    <row r="83" spans="1:16" ht="13.2" x14ac:dyDescent="0.2">
      <c r="A83" s="113">
        <v>16</v>
      </c>
      <c r="B83" s="134" t="s">
        <v>60</v>
      </c>
      <c r="C83" s="108" t="s">
        <v>176</v>
      </c>
      <c r="D83" s="135" t="s">
        <v>64</v>
      </c>
      <c r="E83" s="109">
        <v>2</v>
      </c>
      <c r="F83" s="120"/>
      <c r="G83" s="121"/>
      <c r="H83" s="122">
        <f t="shared" si="14"/>
        <v>0</v>
      </c>
      <c r="I83" s="121"/>
      <c r="J83" s="121"/>
      <c r="K83" s="179">
        <f t="shared" si="15"/>
        <v>0</v>
      </c>
      <c r="L83" s="184">
        <f t="shared" si="16"/>
        <v>0</v>
      </c>
      <c r="M83" s="121">
        <f t="shared" si="17"/>
        <v>0</v>
      </c>
      <c r="N83" s="121">
        <f t="shared" si="18"/>
        <v>0</v>
      </c>
      <c r="O83" s="121">
        <f t="shared" si="19"/>
        <v>0</v>
      </c>
      <c r="P83" s="123">
        <f t="shared" si="20"/>
        <v>0</v>
      </c>
    </row>
    <row r="84" spans="1:16" ht="39.6" x14ac:dyDescent="0.2">
      <c r="A84" s="113">
        <v>17</v>
      </c>
      <c r="B84" s="134" t="s">
        <v>60</v>
      </c>
      <c r="C84" s="108" t="s">
        <v>209</v>
      </c>
      <c r="D84" s="135" t="s">
        <v>68</v>
      </c>
      <c r="E84" s="109">
        <v>12</v>
      </c>
      <c r="F84" s="120"/>
      <c r="G84" s="121"/>
      <c r="H84" s="122">
        <f t="shared" si="14"/>
        <v>0</v>
      </c>
      <c r="I84" s="121"/>
      <c r="J84" s="121"/>
      <c r="K84" s="179">
        <f t="shared" si="15"/>
        <v>0</v>
      </c>
      <c r="L84" s="184">
        <f t="shared" si="16"/>
        <v>0</v>
      </c>
      <c r="M84" s="121">
        <f t="shared" si="17"/>
        <v>0</v>
      </c>
      <c r="N84" s="121">
        <f t="shared" si="18"/>
        <v>0</v>
      </c>
      <c r="O84" s="121">
        <f t="shared" si="19"/>
        <v>0</v>
      </c>
      <c r="P84" s="123">
        <f t="shared" si="20"/>
        <v>0</v>
      </c>
    </row>
    <row r="85" spans="1:16" ht="39.6" x14ac:dyDescent="0.2">
      <c r="A85" s="113">
        <v>18</v>
      </c>
      <c r="B85" s="134" t="s">
        <v>60</v>
      </c>
      <c r="C85" s="108" t="s">
        <v>179</v>
      </c>
      <c r="D85" s="135" t="s">
        <v>64</v>
      </c>
      <c r="E85" s="109">
        <v>11</v>
      </c>
      <c r="F85" s="120"/>
      <c r="G85" s="121"/>
      <c r="H85" s="122">
        <f t="shared" si="14"/>
        <v>0</v>
      </c>
      <c r="I85" s="121"/>
      <c r="J85" s="121"/>
      <c r="K85" s="179">
        <f t="shared" si="15"/>
        <v>0</v>
      </c>
      <c r="L85" s="184">
        <f t="shared" si="16"/>
        <v>0</v>
      </c>
      <c r="M85" s="121">
        <f t="shared" si="17"/>
        <v>0</v>
      </c>
      <c r="N85" s="121">
        <f t="shared" si="18"/>
        <v>0</v>
      </c>
      <c r="O85" s="121">
        <f t="shared" si="19"/>
        <v>0</v>
      </c>
      <c r="P85" s="123">
        <f t="shared" si="20"/>
        <v>0</v>
      </c>
    </row>
    <row r="86" spans="1:16" ht="13.2" x14ac:dyDescent="0.2">
      <c r="A86" s="113">
        <v>19</v>
      </c>
      <c r="B86" s="134" t="s">
        <v>60</v>
      </c>
      <c r="C86" s="108" t="s">
        <v>86</v>
      </c>
      <c r="D86" s="135" t="s">
        <v>87</v>
      </c>
      <c r="E86" s="109">
        <v>8</v>
      </c>
      <c r="F86" s="120"/>
      <c r="G86" s="121"/>
      <c r="H86" s="122">
        <f t="shared" si="14"/>
        <v>0</v>
      </c>
      <c r="I86" s="121"/>
      <c r="J86" s="121"/>
      <c r="K86" s="179">
        <f t="shared" si="15"/>
        <v>0</v>
      </c>
      <c r="L86" s="184">
        <f t="shared" si="16"/>
        <v>0</v>
      </c>
      <c r="M86" s="121">
        <f t="shared" si="17"/>
        <v>0</v>
      </c>
      <c r="N86" s="121">
        <f t="shared" si="18"/>
        <v>0</v>
      </c>
      <c r="O86" s="121">
        <f t="shared" si="19"/>
        <v>0</v>
      </c>
      <c r="P86" s="123">
        <f t="shared" si="20"/>
        <v>0</v>
      </c>
    </row>
    <row r="87" spans="1:16" ht="26.4" x14ac:dyDescent="0.2">
      <c r="A87" s="113">
        <v>20</v>
      </c>
      <c r="B87" s="134" t="s">
        <v>60</v>
      </c>
      <c r="C87" s="108" t="s">
        <v>88</v>
      </c>
      <c r="D87" s="135" t="s">
        <v>89</v>
      </c>
      <c r="E87" s="109">
        <f>E85*6*0.82*0.08*5</f>
        <v>21.648</v>
      </c>
      <c r="F87" s="120"/>
      <c r="G87" s="121"/>
      <c r="H87" s="122"/>
      <c r="I87" s="121"/>
      <c r="J87" s="121"/>
      <c r="K87" s="179">
        <f t="shared" si="15"/>
        <v>0</v>
      </c>
      <c r="L87" s="184">
        <f t="shared" si="16"/>
        <v>0</v>
      </c>
      <c r="M87" s="121">
        <f t="shared" si="17"/>
        <v>0</v>
      </c>
      <c r="N87" s="121">
        <f t="shared" si="18"/>
        <v>0</v>
      </c>
      <c r="O87" s="121">
        <f t="shared" si="19"/>
        <v>0</v>
      </c>
      <c r="P87" s="123">
        <f t="shared" si="20"/>
        <v>0</v>
      </c>
    </row>
    <row r="88" spans="1:16" ht="13.2" x14ac:dyDescent="0.2">
      <c r="A88" s="115"/>
      <c r="B88" s="106"/>
      <c r="C88" s="136" t="s">
        <v>92</v>
      </c>
      <c r="D88" s="116"/>
      <c r="E88" s="137"/>
      <c r="F88" s="120"/>
      <c r="G88" s="121"/>
      <c r="H88" s="122"/>
      <c r="I88" s="121"/>
      <c r="J88" s="121"/>
      <c r="K88" s="179"/>
      <c r="L88" s="184"/>
      <c r="M88" s="121"/>
      <c r="N88" s="121"/>
      <c r="O88" s="121"/>
      <c r="P88" s="123"/>
    </row>
    <row r="89" spans="1:16" ht="26.4" x14ac:dyDescent="0.2">
      <c r="A89" s="113">
        <v>1</v>
      </c>
      <c r="B89" s="134" t="s">
        <v>60</v>
      </c>
      <c r="C89" s="108" t="s">
        <v>158</v>
      </c>
      <c r="D89" s="135" t="s">
        <v>62</v>
      </c>
      <c r="E89" s="109">
        <v>15.5</v>
      </c>
      <c r="F89" s="120"/>
      <c r="G89" s="121"/>
      <c r="H89" s="122">
        <f t="shared" ref="H89:H90" si="21">ROUND(F89*G89,2)</f>
        <v>0</v>
      </c>
      <c r="I89" s="121"/>
      <c r="J89" s="121"/>
      <c r="K89" s="179">
        <f t="shared" ref="K89:K90" si="22">ROUND(H89+J89+I89,2)</f>
        <v>0</v>
      </c>
      <c r="L89" s="184">
        <f t="shared" ref="L89:L90" si="23">ROUND(E89*F89,2)</f>
        <v>0</v>
      </c>
      <c r="M89" s="121">
        <f t="shared" ref="M89:M90" si="24">ROUND(E89*H89,2)</f>
        <v>0</v>
      </c>
      <c r="N89" s="121">
        <f t="shared" ref="N89:N90" si="25">ROUND(E89*I89,2)</f>
        <v>0</v>
      </c>
      <c r="O89" s="121">
        <f t="shared" ref="O89:O90" si="26">ROUND(E89*J89,2)</f>
        <v>0</v>
      </c>
      <c r="P89" s="123">
        <f t="shared" ref="P89:P90" si="27">ROUND(O89+N89+M89,2)</f>
        <v>0</v>
      </c>
    </row>
    <row r="90" spans="1:16" ht="13.2" x14ac:dyDescent="0.2">
      <c r="A90" s="113">
        <v>2</v>
      </c>
      <c r="B90" s="134" t="s">
        <v>60</v>
      </c>
      <c r="C90" s="108" t="s">
        <v>159</v>
      </c>
      <c r="D90" s="135" t="s">
        <v>64</v>
      </c>
      <c r="E90" s="109">
        <v>1</v>
      </c>
      <c r="F90" s="120"/>
      <c r="G90" s="121"/>
      <c r="H90" s="122">
        <f t="shared" si="21"/>
        <v>0</v>
      </c>
      <c r="I90" s="121"/>
      <c r="J90" s="121"/>
      <c r="K90" s="179">
        <f t="shared" si="22"/>
        <v>0</v>
      </c>
      <c r="L90" s="184">
        <f t="shared" si="23"/>
        <v>0</v>
      </c>
      <c r="M90" s="121">
        <f t="shared" si="24"/>
        <v>0</v>
      </c>
      <c r="N90" s="121">
        <f t="shared" si="25"/>
        <v>0</v>
      </c>
      <c r="O90" s="121">
        <f t="shared" si="26"/>
        <v>0</v>
      </c>
      <c r="P90" s="123">
        <f t="shared" si="27"/>
        <v>0</v>
      </c>
    </row>
    <row r="91" spans="1:16" ht="26.4" x14ac:dyDescent="0.2">
      <c r="A91" s="113">
        <v>3</v>
      </c>
      <c r="B91" s="134" t="s">
        <v>60</v>
      </c>
      <c r="C91" s="108" t="s">
        <v>210</v>
      </c>
      <c r="D91" s="135" t="s">
        <v>62</v>
      </c>
      <c r="E91" s="109">
        <v>26.9</v>
      </c>
      <c r="F91" s="120"/>
      <c r="G91" s="121"/>
      <c r="H91" s="122">
        <f t="shared" si="14"/>
        <v>0</v>
      </c>
      <c r="I91" s="121"/>
      <c r="J91" s="121"/>
      <c r="K91" s="179">
        <f t="shared" si="15"/>
        <v>0</v>
      </c>
      <c r="L91" s="184">
        <f t="shared" si="16"/>
        <v>0</v>
      </c>
      <c r="M91" s="121">
        <f t="shared" si="17"/>
        <v>0</v>
      </c>
      <c r="N91" s="121">
        <f t="shared" si="18"/>
        <v>0</v>
      </c>
      <c r="O91" s="121">
        <f t="shared" si="19"/>
        <v>0</v>
      </c>
      <c r="P91" s="123">
        <f t="shared" si="20"/>
        <v>0</v>
      </c>
    </row>
    <row r="92" spans="1:16" ht="13.2" x14ac:dyDescent="0.2">
      <c r="A92" s="113">
        <v>4</v>
      </c>
      <c r="B92" s="134" t="s">
        <v>60</v>
      </c>
      <c r="C92" s="108" t="s">
        <v>162</v>
      </c>
      <c r="D92" s="135" t="s">
        <v>62</v>
      </c>
      <c r="E92" s="109">
        <v>38.5</v>
      </c>
      <c r="F92" s="120"/>
      <c r="G92" s="121"/>
      <c r="H92" s="122">
        <f t="shared" si="14"/>
        <v>0</v>
      </c>
      <c r="I92" s="121"/>
      <c r="J92" s="121"/>
      <c r="K92" s="179">
        <f t="shared" si="15"/>
        <v>0</v>
      </c>
      <c r="L92" s="184">
        <f t="shared" si="16"/>
        <v>0</v>
      </c>
      <c r="M92" s="121">
        <f t="shared" si="17"/>
        <v>0</v>
      </c>
      <c r="N92" s="121">
        <f t="shared" si="18"/>
        <v>0</v>
      </c>
      <c r="O92" s="121">
        <f t="shared" si="19"/>
        <v>0</v>
      </c>
      <c r="P92" s="123">
        <f t="shared" si="20"/>
        <v>0</v>
      </c>
    </row>
    <row r="93" spans="1:16" ht="13.2" x14ac:dyDescent="0.2">
      <c r="A93" s="113">
        <v>5</v>
      </c>
      <c r="B93" s="134" t="s">
        <v>60</v>
      </c>
      <c r="C93" s="108" t="s">
        <v>200</v>
      </c>
      <c r="D93" s="135" t="s">
        <v>62</v>
      </c>
      <c r="E93" s="109">
        <v>5.2</v>
      </c>
      <c r="F93" s="120"/>
      <c r="G93" s="121"/>
      <c r="H93" s="122">
        <f t="shared" si="14"/>
        <v>0</v>
      </c>
      <c r="I93" s="121"/>
      <c r="J93" s="121"/>
      <c r="K93" s="179">
        <f t="shared" si="15"/>
        <v>0</v>
      </c>
      <c r="L93" s="184">
        <f t="shared" si="16"/>
        <v>0</v>
      </c>
      <c r="M93" s="121">
        <f t="shared" si="17"/>
        <v>0</v>
      </c>
      <c r="N93" s="121">
        <f t="shared" si="18"/>
        <v>0</v>
      </c>
      <c r="O93" s="121">
        <f t="shared" si="19"/>
        <v>0</v>
      </c>
      <c r="P93" s="123">
        <f t="shared" si="20"/>
        <v>0</v>
      </c>
    </row>
    <row r="94" spans="1:16" ht="26.4" x14ac:dyDescent="0.2">
      <c r="A94" s="113">
        <v>6</v>
      </c>
      <c r="B94" s="134" t="s">
        <v>60</v>
      </c>
      <c r="C94" s="108" t="s">
        <v>211</v>
      </c>
      <c r="D94" s="135" t="s">
        <v>62</v>
      </c>
      <c r="E94" s="109">
        <v>4.7</v>
      </c>
      <c r="F94" s="120"/>
      <c r="G94" s="121"/>
      <c r="H94" s="122">
        <f t="shared" si="14"/>
        <v>0</v>
      </c>
      <c r="I94" s="121"/>
      <c r="J94" s="121"/>
      <c r="K94" s="179">
        <f t="shared" si="15"/>
        <v>0</v>
      </c>
      <c r="L94" s="184">
        <f t="shared" si="16"/>
        <v>0</v>
      </c>
      <c r="M94" s="121">
        <f t="shared" si="17"/>
        <v>0</v>
      </c>
      <c r="N94" s="121">
        <f t="shared" si="18"/>
        <v>0</v>
      </c>
      <c r="O94" s="121">
        <f t="shared" si="19"/>
        <v>0</v>
      </c>
      <c r="P94" s="123">
        <f t="shared" si="20"/>
        <v>0</v>
      </c>
    </row>
    <row r="95" spans="1:16" ht="26.4" x14ac:dyDescent="0.2">
      <c r="A95" s="113">
        <v>7</v>
      </c>
      <c r="B95" s="134" t="s">
        <v>60</v>
      </c>
      <c r="C95" s="108" t="s">
        <v>165</v>
      </c>
      <c r="D95" s="135" t="s">
        <v>68</v>
      </c>
      <c r="E95" s="109">
        <v>6</v>
      </c>
      <c r="F95" s="120"/>
      <c r="G95" s="121"/>
      <c r="H95" s="122">
        <f t="shared" si="14"/>
        <v>0</v>
      </c>
      <c r="I95" s="121"/>
      <c r="J95" s="121"/>
      <c r="K95" s="179">
        <f t="shared" si="15"/>
        <v>0</v>
      </c>
      <c r="L95" s="184">
        <f t="shared" si="16"/>
        <v>0</v>
      </c>
      <c r="M95" s="121">
        <f t="shared" si="17"/>
        <v>0</v>
      </c>
      <c r="N95" s="121">
        <f t="shared" si="18"/>
        <v>0</v>
      </c>
      <c r="O95" s="121">
        <f t="shared" si="19"/>
        <v>0</v>
      </c>
      <c r="P95" s="123">
        <f t="shared" si="20"/>
        <v>0</v>
      </c>
    </row>
    <row r="96" spans="1:16" ht="39.6" x14ac:dyDescent="0.2">
      <c r="A96" s="113">
        <v>8</v>
      </c>
      <c r="B96" s="134" t="s">
        <v>60</v>
      </c>
      <c r="C96" s="108" t="s">
        <v>212</v>
      </c>
      <c r="D96" s="135" t="s">
        <v>68</v>
      </c>
      <c r="E96" s="109">
        <v>2</v>
      </c>
      <c r="F96" s="120"/>
      <c r="G96" s="121"/>
      <c r="H96" s="122">
        <f t="shared" si="14"/>
        <v>0</v>
      </c>
      <c r="I96" s="121"/>
      <c r="J96" s="121"/>
      <c r="K96" s="179">
        <f t="shared" si="15"/>
        <v>0</v>
      </c>
      <c r="L96" s="184">
        <f t="shared" si="16"/>
        <v>0</v>
      </c>
      <c r="M96" s="121">
        <f t="shared" si="17"/>
        <v>0</v>
      </c>
      <c r="N96" s="121">
        <f t="shared" si="18"/>
        <v>0</v>
      </c>
      <c r="O96" s="121">
        <f t="shared" si="19"/>
        <v>0</v>
      </c>
      <c r="P96" s="123">
        <f t="shared" si="20"/>
        <v>0</v>
      </c>
    </row>
    <row r="97" spans="1:16" ht="13.2" x14ac:dyDescent="0.2">
      <c r="A97" s="113">
        <v>9</v>
      </c>
      <c r="B97" s="134" t="s">
        <v>60</v>
      </c>
      <c r="C97" s="108" t="s">
        <v>176</v>
      </c>
      <c r="D97" s="135" t="s">
        <v>64</v>
      </c>
      <c r="E97" s="109">
        <v>1</v>
      </c>
      <c r="F97" s="120"/>
      <c r="G97" s="121"/>
      <c r="H97" s="122">
        <f t="shared" si="14"/>
        <v>0</v>
      </c>
      <c r="I97" s="121"/>
      <c r="J97" s="121"/>
      <c r="K97" s="179">
        <f t="shared" si="15"/>
        <v>0</v>
      </c>
      <c r="L97" s="184">
        <f t="shared" si="16"/>
        <v>0</v>
      </c>
      <c r="M97" s="121">
        <f t="shared" si="17"/>
        <v>0</v>
      </c>
      <c r="N97" s="121">
        <f t="shared" si="18"/>
        <v>0</v>
      </c>
      <c r="O97" s="121">
        <f t="shared" si="19"/>
        <v>0</v>
      </c>
      <c r="P97" s="123">
        <f t="shared" si="20"/>
        <v>0</v>
      </c>
    </row>
    <row r="98" spans="1:16" ht="39.6" x14ac:dyDescent="0.2">
      <c r="A98" s="113">
        <v>10</v>
      </c>
      <c r="B98" s="134" t="s">
        <v>60</v>
      </c>
      <c r="C98" s="108" t="s">
        <v>213</v>
      </c>
      <c r="D98" s="135" t="s">
        <v>68</v>
      </c>
      <c r="E98" s="109">
        <v>12</v>
      </c>
      <c r="F98" s="120"/>
      <c r="G98" s="121"/>
      <c r="H98" s="122">
        <f t="shared" si="14"/>
        <v>0</v>
      </c>
      <c r="I98" s="121"/>
      <c r="J98" s="121"/>
      <c r="K98" s="179">
        <f t="shared" si="15"/>
        <v>0</v>
      </c>
      <c r="L98" s="184">
        <f t="shared" si="16"/>
        <v>0</v>
      </c>
      <c r="M98" s="121">
        <f t="shared" si="17"/>
        <v>0</v>
      </c>
      <c r="N98" s="121">
        <f t="shared" si="18"/>
        <v>0</v>
      </c>
      <c r="O98" s="121">
        <f t="shared" si="19"/>
        <v>0</v>
      </c>
      <c r="P98" s="123">
        <f t="shared" si="20"/>
        <v>0</v>
      </c>
    </row>
    <row r="99" spans="1:16" ht="39.6" x14ac:dyDescent="0.2">
      <c r="A99" s="113">
        <v>11</v>
      </c>
      <c r="B99" s="134" t="s">
        <v>60</v>
      </c>
      <c r="C99" s="108" t="s">
        <v>179</v>
      </c>
      <c r="D99" s="135" t="s">
        <v>64</v>
      </c>
      <c r="E99" s="109">
        <v>12</v>
      </c>
      <c r="F99" s="120"/>
      <c r="G99" s="121"/>
      <c r="H99" s="122">
        <f t="shared" si="14"/>
        <v>0</v>
      </c>
      <c r="I99" s="121"/>
      <c r="J99" s="121"/>
      <c r="K99" s="179">
        <f t="shared" si="15"/>
        <v>0</v>
      </c>
      <c r="L99" s="184">
        <f t="shared" si="16"/>
        <v>0</v>
      </c>
      <c r="M99" s="121">
        <f t="shared" si="17"/>
        <v>0</v>
      </c>
      <c r="N99" s="121">
        <f t="shared" si="18"/>
        <v>0</v>
      </c>
      <c r="O99" s="121">
        <f t="shared" si="19"/>
        <v>0</v>
      </c>
      <c r="P99" s="123">
        <f t="shared" si="20"/>
        <v>0</v>
      </c>
    </row>
    <row r="100" spans="1:16" ht="13.2" x14ac:dyDescent="0.2">
      <c r="A100" s="113">
        <v>12</v>
      </c>
      <c r="B100" s="134" t="s">
        <v>60</v>
      </c>
      <c r="C100" s="108" t="s">
        <v>86</v>
      </c>
      <c r="D100" s="135" t="s">
        <v>87</v>
      </c>
      <c r="E100" s="109">
        <v>8</v>
      </c>
      <c r="F100" s="120"/>
      <c r="G100" s="121"/>
      <c r="H100" s="122">
        <f t="shared" si="14"/>
        <v>0</v>
      </c>
      <c r="I100" s="121"/>
      <c r="J100" s="121"/>
      <c r="K100" s="179">
        <f t="shared" si="15"/>
        <v>0</v>
      </c>
      <c r="L100" s="184">
        <f t="shared" si="16"/>
        <v>0</v>
      </c>
      <c r="M100" s="121">
        <f t="shared" si="17"/>
        <v>0</v>
      </c>
      <c r="N100" s="121">
        <f t="shared" si="18"/>
        <v>0</v>
      </c>
      <c r="O100" s="121">
        <f t="shared" si="19"/>
        <v>0</v>
      </c>
      <c r="P100" s="123">
        <f t="shared" si="20"/>
        <v>0</v>
      </c>
    </row>
    <row r="101" spans="1:16" ht="27" thickBot="1" x14ac:dyDescent="0.25">
      <c r="A101" s="113">
        <v>13</v>
      </c>
      <c r="B101" s="134" t="s">
        <v>60</v>
      </c>
      <c r="C101" s="108" t="s">
        <v>88</v>
      </c>
      <c r="D101" s="135" t="s">
        <v>89</v>
      </c>
      <c r="E101" s="109">
        <f>E99*6*0.82*0.08*5</f>
        <v>23.616</v>
      </c>
      <c r="F101" s="120"/>
      <c r="G101" s="121"/>
      <c r="H101" s="122"/>
      <c r="I101" s="121"/>
      <c r="J101" s="121"/>
      <c r="K101" s="179">
        <f t="shared" si="15"/>
        <v>0</v>
      </c>
      <c r="L101" s="185">
        <f t="shared" si="16"/>
        <v>0</v>
      </c>
      <c r="M101" s="156">
        <f t="shared" si="17"/>
        <v>0</v>
      </c>
      <c r="N101" s="156">
        <f t="shared" si="18"/>
        <v>0</v>
      </c>
      <c r="O101" s="156">
        <f t="shared" si="19"/>
        <v>0</v>
      </c>
      <c r="P101" s="157">
        <f t="shared" si="20"/>
        <v>0</v>
      </c>
    </row>
    <row r="102" spans="1:16" ht="10.8" thickBot="1" x14ac:dyDescent="0.25">
      <c r="A102" s="285" t="s">
        <v>700</v>
      </c>
      <c r="B102" s="286"/>
      <c r="C102" s="286"/>
      <c r="D102" s="286"/>
      <c r="E102" s="286"/>
      <c r="F102" s="286"/>
      <c r="G102" s="286"/>
      <c r="H102" s="286"/>
      <c r="I102" s="286"/>
      <c r="J102" s="286"/>
      <c r="K102" s="287"/>
      <c r="L102" s="69">
        <f>SUM(L14:L101)</f>
        <v>0</v>
      </c>
      <c r="M102" s="70">
        <f>SUM(M14:M101)</f>
        <v>0</v>
      </c>
      <c r="N102" s="70">
        <f>SUM(N14:N101)</f>
        <v>0</v>
      </c>
      <c r="O102" s="70">
        <f>SUM(O14:O101)</f>
        <v>0</v>
      </c>
      <c r="P102" s="71">
        <f>SUM(P14:P101)</f>
        <v>0</v>
      </c>
    </row>
    <row r="103" spans="1:16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1:16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1:16" x14ac:dyDescent="0.2">
      <c r="A105" s="1" t="s">
        <v>14</v>
      </c>
      <c r="B105" s="17"/>
      <c r="C105" s="284">
        <f>'Kops a'!C37:H37</f>
        <v>0</v>
      </c>
      <c r="D105" s="284"/>
      <c r="E105" s="284"/>
      <c r="F105" s="284"/>
      <c r="G105" s="284"/>
      <c r="H105" s="284"/>
      <c r="I105" s="17"/>
      <c r="J105" s="17"/>
      <c r="K105" s="17"/>
      <c r="L105" s="17"/>
      <c r="M105" s="17"/>
      <c r="N105" s="17"/>
      <c r="O105" s="17"/>
      <c r="P105" s="17"/>
    </row>
    <row r="106" spans="1:16" x14ac:dyDescent="0.2">
      <c r="A106" s="17"/>
      <c r="B106" s="17"/>
      <c r="C106" s="219" t="s">
        <v>15</v>
      </c>
      <c r="D106" s="219"/>
      <c r="E106" s="219"/>
      <c r="F106" s="219"/>
      <c r="G106" s="219"/>
      <c r="H106" s="219"/>
      <c r="I106" s="17"/>
      <c r="J106" s="17"/>
      <c r="K106" s="17"/>
      <c r="L106" s="17"/>
      <c r="M106" s="17"/>
      <c r="N106" s="17"/>
      <c r="O106" s="17"/>
      <c r="P106" s="17"/>
    </row>
    <row r="107" spans="1:16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1:16" x14ac:dyDescent="0.2">
      <c r="A108" s="88" t="str">
        <f>'Kops a'!A40</f>
        <v xml:space="preserve">Tāme sastādīta </v>
      </c>
      <c r="B108" s="89"/>
      <c r="C108" s="89"/>
      <c r="D108" s="89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1:16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1:16" x14ac:dyDescent="0.2">
      <c r="A110" s="1" t="s">
        <v>37</v>
      </c>
      <c r="B110" s="17"/>
      <c r="C110" s="284">
        <f>'Kops a'!C42:H42</f>
        <v>0</v>
      </c>
      <c r="D110" s="284"/>
      <c r="E110" s="284"/>
      <c r="F110" s="284"/>
      <c r="G110" s="284"/>
      <c r="H110" s="284"/>
      <c r="I110" s="17"/>
      <c r="J110" s="17"/>
      <c r="K110" s="17"/>
      <c r="L110" s="17"/>
      <c r="M110" s="17"/>
      <c r="N110" s="17"/>
      <c r="O110" s="17"/>
      <c r="P110" s="17"/>
    </row>
    <row r="111" spans="1:16" x14ac:dyDescent="0.2">
      <c r="A111" s="17"/>
      <c r="B111" s="17"/>
      <c r="C111" s="219" t="s">
        <v>15</v>
      </c>
      <c r="D111" s="219"/>
      <c r="E111" s="219"/>
      <c r="F111" s="219"/>
      <c r="G111" s="219"/>
      <c r="H111" s="219"/>
      <c r="I111" s="17"/>
      <c r="J111" s="17"/>
      <c r="K111" s="17"/>
      <c r="L111" s="17"/>
      <c r="M111" s="17"/>
      <c r="N111" s="17"/>
      <c r="O111" s="17"/>
      <c r="P111" s="17"/>
    </row>
    <row r="112" spans="1:16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1:16" x14ac:dyDescent="0.2">
      <c r="A113" s="88" t="s">
        <v>54</v>
      </c>
      <c r="B113" s="89"/>
      <c r="C113" s="93">
        <f>'Kops a'!C45</f>
        <v>0</v>
      </c>
      <c r="D113" s="50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1:16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</sheetData>
  <mergeCells count="23">
    <mergeCell ref="C111:H111"/>
    <mergeCell ref="C4:I4"/>
    <mergeCell ref="F12:K12"/>
    <mergeCell ref="J9:M9"/>
    <mergeCell ref="D8:L8"/>
    <mergeCell ref="A102:K102"/>
    <mergeCell ref="C105:H105"/>
    <mergeCell ref="C106:H106"/>
    <mergeCell ref="C110:H110"/>
    <mergeCell ref="A12:A13"/>
    <mergeCell ref="B12:B13"/>
    <mergeCell ref="C12:C13"/>
    <mergeCell ref="D12:D13"/>
    <mergeCell ref="E12:E13"/>
    <mergeCell ref="A9:F9"/>
    <mergeCell ref="Q36:U36"/>
    <mergeCell ref="C2:I2"/>
    <mergeCell ref="C3:I3"/>
    <mergeCell ref="D5:L5"/>
    <mergeCell ref="D6:L6"/>
    <mergeCell ref="D7:L7"/>
    <mergeCell ref="N9:O9"/>
    <mergeCell ref="L12:P12"/>
  </mergeCells>
  <conditionalFormatting sqref="I14:J81 A14:G81 A83:G101 A82:C82 I83:J101">
    <cfRule type="cellIs" dxfId="332" priority="24" operator="equal">
      <formula>0</formula>
    </cfRule>
  </conditionalFormatting>
  <conditionalFormatting sqref="N9:O9 H14:H81 K14:P81 K83:P101 H83:H101">
    <cfRule type="cellIs" dxfId="331" priority="23" operator="equal">
      <formula>0</formula>
    </cfRule>
  </conditionalFormatting>
  <conditionalFormatting sqref="A9:F9">
    <cfRule type="containsText" dxfId="330" priority="2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329" priority="20" operator="equal">
      <formula>0</formula>
    </cfRule>
  </conditionalFormatting>
  <conditionalFormatting sqref="O10">
    <cfRule type="cellIs" dxfId="328" priority="19" operator="equal">
      <formula>"20__. gada __. _________"</formula>
    </cfRule>
  </conditionalFormatting>
  <conditionalFormatting sqref="A102:K102">
    <cfRule type="containsText" dxfId="327" priority="18" operator="containsText" text="Tiešās izmaksas kopā, t. sk. darba devēja sociālais nodoklis __.__% ">
      <formula>NOT(ISERROR(SEARCH("Tiešās izmaksas kopā, t. sk. darba devēja sociālais nodoklis __.__% ",A102)))</formula>
    </cfRule>
  </conditionalFormatting>
  <conditionalFormatting sqref="L102:P102">
    <cfRule type="cellIs" dxfId="326" priority="13" operator="equal">
      <formula>0</formula>
    </cfRule>
  </conditionalFormatting>
  <conditionalFormatting sqref="C4:I4">
    <cfRule type="cellIs" dxfId="325" priority="12" operator="equal">
      <formula>0</formula>
    </cfRule>
  </conditionalFormatting>
  <conditionalFormatting sqref="D5:L8">
    <cfRule type="cellIs" dxfId="324" priority="10" operator="equal">
      <formula>0</formula>
    </cfRule>
  </conditionalFormatting>
  <conditionalFormatting sqref="P10">
    <cfRule type="cellIs" dxfId="323" priority="9" operator="equal">
      <formula>"20__. gada __. _________"</formula>
    </cfRule>
  </conditionalFormatting>
  <conditionalFormatting sqref="C110:H110">
    <cfRule type="cellIs" dxfId="322" priority="6" operator="equal">
      <formula>0</formula>
    </cfRule>
  </conditionalFormatting>
  <conditionalFormatting sqref="C105:H105">
    <cfRule type="cellIs" dxfId="321" priority="5" operator="equal">
      <formula>0</formula>
    </cfRule>
  </conditionalFormatting>
  <conditionalFormatting sqref="C110:H110 C113 C105:H105">
    <cfRule type="cellIs" dxfId="320" priority="4" operator="equal">
      <formula>0</formula>
    </cfRule>
  </conditionalFormatting>
  <conditionalFormatting sqref="D1">
    <cfRule type="cellIs" dxfId="319" priority="3" operator="equal">
      <formula>0</formula>
    </cfRule>
  </conditionalFormatting>
  <conditionalFormatting sqref="I82:J82 D82:G82">
    <cfRule type="cellIs" dxfId="318" priority="2" operator="equal">
      <formula>0</formula>
    </cfRule>
  </conditionalFormatting>
  <conditionalFormatting sqref="H82 K82:P82">
    <cfRule type="cellIs" dxfId="317" priority="1" operator="equal">
      <formula>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46B16A03-C867-4231-9EE2-FA19DDA4D492}">
            <xm:f>NOT(ISERROR(SEARCH("Tāme sastādīta ____. gada ___. ______________",A108)))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A108</xm:sqref>
        </x14:conditionalFormatting>
        <x14:conditionalFormatting xmlns:xm="http://schemas.microsoft.com/office/excel/2006/main">
          <x14:cfRule type="containsText" priority="7" operator="containsText" id="{2AF3CC58-04F0-4432-AA0F-D3D058C3CAD1}">
            <xm:f>NOT(ISERROR(SEARCH("Sertifikāta Nr. _________________________________",A113)))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U47"/>
  <sheetViews>
    <sheetView workbookViewId="0">
      <selection activeCell="A9" sqref="A9:F9"/>
    </sheetView>
  </sheetViews>
  <sheetFormatPr defaultColWidth="9.109375" defaultRowHeight="10.199999999999999" x14ac:dyDescent="0.2"/>
  <cols>
    <col min="1" max="1" width="4.5546875" style="1" customWidth="1"/>
    <col min="2" max="2" width="9.44140625" style="1" bestFit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1">
        <f>'Kops a'!A17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267" t="s">
        <v>93</v>
      </c>
      <c r="D2" s="267"/>
      <c r="E2" s="267"/>
      <c r="F2" s="267"/>
      <c r="G2" s="267"/>
      <c r="H2" s="267"/>
      <c r="I2" s="267"/>
      <c r="J2" s="29"/>
    </row>
    <row r="3" spans="1:16" x14ac:dyDescent="0.2">
      <c r="A3" s="30"/>
      <c r="B3" s="30"/>
      <c r="C3" s="228" t="s">
        <v>17</v>
      </c>
      <c r="D3" s="228"/>
      <c r="E3" s="228"/>
      <c r="F3" s="228"/>
      <c r="G3" s="228"/>
      <c r="H3" s="228"/>
      <c r="I3" s="228"/>
      <c r="J3" s="30"/>
    </row>
    <row r="4" spans="1:16" x14ac:dyDescent="0.2">
      <c r="A4" s="30"/>
      <c r="B4" s="30"/>
      <c r="C4" s="268" t="s">
        <v>52</v>
      </c>
      <c r="D4" s="268"/>
      <c r="E4" s="268"/>
      <c r="F4" s="268"/>
      <c r="G4" s="268"/>
      <c r="H4" s="268"/>
      <c r="I4" s="268"/>
      <c r="J4" s="30"/>
    </row>
    <row r="5" spans="1:16" x14ac:dyDescent="0.2">
      <c r="A5" s="23"/>
      <c r="B5" s="23"/>
      <c r="C5" s="27" t="s">
        <v>5</v>
      </c>
      <c r="D5" s="281" t="str">
        <f>'Kops a'!D6</f>
        <v>DAUDZDZĪVOKĻU DZĪVOJAMĀ ĒKA</v>
      </c>
      <c r="E5" s="281"/>
      <c r="F5" s="281"/>
      <c r="G5" s="281"/>
      <c r="H5" s="281"/>
      <c r="I5" s="281"/>
      <c r="J5" s="281"/>
      <c r="K5" s="281"/>
      <c r="L5" s="281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281" t="str">
        <f>'Kops a'!D7</f>
        <v>ENERGOEFEKTIVITĀTES PAAUGSTINĀŠANA DAUDZDZĪVOKĻU DZĪVOJAMAI ĒKAI</v>
      </c>
      <c r="E6" s="281"/>
      <c r="F6" s="281"/>
      <c r="G6" s="281"/>
      <c r="H6" s="281"/>
      <c r="I6" s="281"/>
      <c r="J6" s="281"/>
      <c r="K6" s="281"/>
      <c r="L6" s="281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281" t="str">
        <f>'Kops a'!D8</f>
        <v>Pasta iela 34, Jelgava, ēkas kad. apz. 0900 001 0177 001</v>
      </c>
      <c r="E7" s="281"/>
      <c r="F7" s="281"/>
      <c r="G7" s="281"/>
      <c r="H7" s="281"/>
      <c r="I7" s="281"/>
      <c r="J7" s="281"/>
      <c r="K7" s="281"/>
      <c r="L7" s="281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281">
        <f>'Kops a'!D9</f>
        <v>0</v>
      </c>
      <c r="E8" s="281"/>
      <c r="F8" s="281"/>
      <c r="G8" s="281"/>
      <c r="H8" s="281"/>
      <c r="I8" s="281"/>
      <c r="J8" s="281"/>
      <c r="K8" s="281"/>
      <c r="L8" s="281"/>
      <c r="M8" s="17"/>
      <c r="N8" s="17"/>
      <c r="O8" s="17"/>
      <c r="P8" s="17"/>
    </row>
    <row r="9" spans="1:16" ht="11.25" customHeight="1" x14ac:dyDescent="0.2">
      <c r="A9" s="269" t="s">
        <v>702</v>
      </c>
      <c r="B9" s="269"/>
      <c r="C9" s="269"/>
      <c r="D9" s="269"/>
      <c r="E9" s="269"/>
      <c r="F9" s="269"/>
      <c r="G9" s="31"/>
      <c r="H9" s="31"/>
      <c r="I9" s="31"/>
      <c r="J9" s="273" t="s">
        <v>39</v>
      </c>
      <c r="K9" s="273"/>
      <c r="L9" s="273"/>
      <c r="M9" s="273"/>
      <c r="N9" s="280">
        <f>P35</f>
        <v>0</v>
      </c>
      <c r="O9" s="280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1"/>
      <c r="P10" s="90" t="str">
        <f>A41</f>
        <v xml:space="preserve">Tāme sastādīta 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239" t="s">
        <v>23</v>
      </c>
      <c r="B12" s="275" t="s">
        <v>40</v>
      </c>
      <c r="C12" s="271" t="s">
        <v>41</v>
      </c>
      <c r="D12" s="278" t="s">
        <v>42</v>
      </c>
      <c r="E12" s="282" t="s">
        <v>43</v>
      </c>
      <c r="F12" s="270" t="s">
        <v>44</v>
      </c>
      <c r="G12" s="271"/>
      <c r="H12" s="271"/>
      <c r="I12" s="271"/>
      <c r="J12" s="271"/>
      <c r="K12" s="272"/>
      <c r="L12" s="270" t="s">
        <v>45</v>
      </c>
      <c r="M12" s="271"/>
      <c r="N12" s="271"/>
      <c r="O12" s="271"/>
      <c r="P12" s="272"/>
    </row>
    <row r="13" spans="1:16" ht="126.75" customHeight="1" thickBot="1" x14ac:dyDescent="0.25">
      <c r="A13" s="274"/>
      <c r="B13" s="276"/>
      <c r="C13" s="277"/>
      <c r="D13" s="279"/>
      <c r="E13" s="283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ht="13.2" x14ac:dyDescent="0.2">
      <c r="A14" s="101"/>
      <c r="B14" s="102"/>
      <c r="C14" s="103" t="s">
        <v>94</v>
      </c>
      <c r="D14" s="104"/>
      <c r="E14" s="105"/>
      <c r="F14" s="138"/>
      <c r="G14" s="139"/>
      <c r="H14" s="139"/>
      <c r="I14" s="139"/>
      <c r="J14" s="139"/>
      <c r="K14" s="186"/>
      <c r="L14" s="187"/>
      <c r="M14" s="131"/>
      <c r="N14" s="131"/>
      <c r="O14" s="131"/>
      <c r="P14" s="133"/>
    </row>
    <row r="15" spans="1:16" ht="26.4" x14ac:dyDescent="0.2">
      <c r="A15" s="110">
        <v>1</v>
      </c>
      <c r="B15" s="106" t="s">
        <v>60</v>
      </c>
      <c r="C15" s="111" t="s">
        <v>215</v>
      </c>
      <c r="D15" s="106" t="s">
        <v>68</v>
      </c>
      <c r="E15" s="112">
        <v>1</v>
      </c>
      <c r="F15" s="120"/>
      <c r="G15" s="121"/>
      <c r="H15" s="122">
        <f t="shared" ref="H15:H16" si="0">ROUND(F15*G15,2)</f>
        <v>0</v>
      </c>
      <c r="I15" s="121"/>
      <c r="J15" s="121"/>
      <c r="K15" s="179">
        <f t="shared" ref="K15:K16" si="1">ROUND(H15+J15+I15,2)</f>
        <v>0</v>
      </c>
      <c r="L15" s="184">
        <f t="shared" ref="L15:L16" si="2">ROUND(E15*F15,2)</f>
        <v>0</v>
      </c>
      <c r="M15" s="121">
        <f t="shared" ref="M15:M16" si="3">ROUND(E15*H15,2)</f>
        <v>0</v>
      </c>
      <c r="N15" s="121">
        <f t="shared" ref="N15:N16" si="4">ROUND(E15*I15,2)</f>
        <v>0</v>
      </c>
      <c r="O15" s="121">
        <f t="shared" ref="O15:O16" si="5">ROUND(E15*J15,2)</f>
        <v>0</v>
      </c>
      <c r="P15" s="123">
        <f t="shared" ref="P15:P16" si="6">ROUND(O15+N15+M15,2)</f>
        <v>0</v>
      </c>
    </row>
    <row r="16" spans="1:16" ht="39.6" x14ac:dyDescent="0.2">
      <c r="A16" s="110">
        <v>2</v>
      </c>
      <c r="B16" s="106" t="s">
        <v>60</v>
      </c>
      <c r="C16" s="111" t="s">
        <v>216</v>
      </c>
      <c r="D16" s="106" t="s">
        <v>68</v>
      </c>
      <c r="E16" s="112">
        <v>1</v>
      </c>
      <c r="F16" s="120"/>
      <c r="G16" s="121"/>
      <c r="H16" s="122">
        <f t="shared" si="0"/>
        <v>0</v>
      </c>
      <c r="I16" s="121"/>
      <c r="J16" s="121"/>
      <c r="K16" s="179">
        <f t="shared" si="1"/>
        <v>0</v>
      </c>
      <c r="L16" s="184">
        <f t="shared" si="2"/>
        <v>0</v>
      </c>
      <c r="M16" s="121">
        <f t="shared" si="3"/>
        <v>0</v>
      </c>
      <c r="N16" s="121">
        <f t="shared" si="4"/>
        <v>0</v>
      </c>
      <c r="O16" s="121">
        <f t="shared" si="5"/>
        <v>0</v>
      </c>
      <c r="P16" s="123">
        <f t="shared" si="6"/>
        <v>0</v>
      </c>
    </row>
    <row r="17" spans="1:21" ht="13.2" x14ac:dyDescent="0.2">
      <c r="A17" s="113">
        <v>3</v>
      </c>
      <c r="B17" s="134" t="s">
        <v>60</v>
      </c>
      <c r="C17" s="108" t="s">
        <v>86</v>
      </c>
      <c r="D17" s="135" t="s">
        <v>87</v>
      </c>
      <c r="E17" s="109">
        <v>8</v>
      </c>
      <c r="F17" s="120"/>
      <c r="G17" s="121"/>
      <c r="H17" s="122">
        <f>ROUND(F17*G17,2)</f>
        <v>0</v>
      </c>
      <c r="I17" s="121"/>
      <c r="J17" s="121"/>
      <c r="K17" s="179">
        <f>ROUND(H17+J17+I17,2)</f>
        <v>0</v>
      </c>
      <c r="L17" s="184">
        <f>ROUND(E17*F17,2)</f>
        <v>0</v>
      </c>
      <c r="M17" s="121">
        <f>ROUND(E17*H17,2)</f>
        <v>0</v>
      </c>
      <c r="N17" s="121">
        <f>ROUND(E17*I17,2)</f>
        <v>0</v>
      </c>
      <c r="O17" s="121">
        <f>ROUND(E17*J17,2)</f>
        <v>0</v>
      </c>
      <c r="P17" s="123">
        <f>ROUND(O17+N17+M17,2)</f>
        <v>0</v>
      </c>
    </row>
    <row r="18" spans="1:21" ht="26.4" x14ac:dyDescent="0.2">
      <c r="A18" s="110">
        <v>4</v>
      </c>
      <c r="B18" s="134" t="s">
        <v>60</v>
      </c>
      <c r="C18" s="108" t="s">
        <v>88</v>
      </c>
      <c r="D18" s="135" t="s">
        <v>89</v>
      </c>
      <c r="E18" s="109">
        <v>8</v>
      </c>
      <c r="F18" s="120"/>
      <c r="G18" s="121"/>
      <c r="H18" s="122"/>
      <c r="I18" s="121"/>
      <c r="J18" s="121"/>
      <c r="K18" s="179">
        <f>ROUND(H18+J18+I18,2)</f>
        <v>0</v>
      </c>
      <c r="L18" s="184">
        <f>ROUND(E18*F18,2)</f>
        <v>0</v>
      </c>
      <c r="M18" s="121">
        <f>ROUND(E18*H18,2)</f>
        <v>0</v>
      </c>
      <c r="N18" s="121">
        <f>ROUND(E18*I18,2)</f>
        <v>0</v>
      </c>
      <c r="O18" s="121">
        <f>ROUND(E18*J18,2)</f>
        <v>0</v>
      </c>
      <c r="P18" s="123">
        <f>ROUND(O18+N18+M18,2)</f>
        <v>0</v>
      </c>
    </row>
    <row r="19" spans="1:21" ht="13.2" x14ac:dyDescent="0.2">
      <c r="A19" s="110">
        <v>5</v>
      </c>
      <c r="B19" s="106" t="s">
        <v>60</v>
      </c>
      <c r="C19" s="111" t="s">
        <v>217</v>
      </c>
      <c r="D19" s="106" t="s">
        <v>62</v>
      </c>
      <c r="E19" s="112">
        <v>2</v>
      </c>
      <c r="F19" s="120"/>
      <c r="G19" s="121"/>
      <c r="H19" s="122">
        <f t="shared" ref="H19:H22" si="7">ROUND(F19*G19,2)</f>
        <v>0</v>
      </c>
      <c r="I19" s="121"/>
      <c r="J19" s="121"/>
      <c r="K19" s="179">
        <f t="shared" ref="K19:K22" si="8">ROUND(H19+J19+I19,2)</f>
        <v>0</v>
      </c>
      <c r="L19" s="184">
        <f t="shared" ref="L19:L22" si="9">ROUND(E19*F19,2)</f>
        <v>0</v>
      </c>
      <c r="M19" s="121">
        <f t="shared" ref="M19:M22" si="10">ROUND(E19*H19,2)</f>
        <v>0</v>
      </c>
      <c r="N19" s="121">
        <f t="shared" ref="N19:N22" si="11">ROUND(E19*I19,2)</f>
        <v>0</v>
      </c>
      <c r="O19" s="121">
        <f t="shared" ref="O19:O22" si="12">ROUND(E19*J19,2)</f>
        <v>0</v>
      </c>
      <c r="P19" s="123">
        <f t="shared" ref="P19:P22" si="13">ROUND(O19+N19+M19,2)</f>
        <v>0</v>
      </c>
    </row>
    <row r="20" spans="1:21" ht="39.6" x14ac:dyDescent="0.2">
      <c r="A20" s="113">
        <v>6</v>
      </c>
      <c r="B20" s="106" t="s">
        <v>60</v>
      </c>
      <c r="C20" s="111" t="s">
        <v>218</v>
      </c>
      <c r="D20" s="106" t="s">
        <v>62</v>
      </c>
      <c r="E20" s="112">
        <v>15</v>
      </c>
      <c r="F20" s="120"/>
      <c r="G20" s="121"/>
      <c r="H20" s="122">
        <f t="shared" si="7"/>
        <v>0</v>
      </c>
      <c r="I20" s="121"/>
      <c r="J20" s="121"/>
      <c r="K20" s="179">
        <f t="shared" si="8"/>
        <v>0</v>
      </c>
      <c r="L20" s="184">
        <f t="shared" si="9"/>
        <v>0</v>
      </c>
      <c r="M20" s="121">
        <f t="shared" si="10"/>
        <v>0</v>
      </c>
      <c r="N20" s="121">
        <f t="shared" si="11"/>
        <v>0</v>
      </c>
      <c r="O20" s="121">
        <f t="shared" si="12"/>
        <v>0</v>
      </c>
      <c r="P20" s="123">
        <f t="shared" si="13"/>
        <v>0</v>
      </c>
    </row>
    <row r="21" spans="1:21" ht="52.8" x14ac:dyDescent="0.2">
      <c r="A21" s="110">
        <v>7</v>
      </c>
      <c r="B21" s="106" t="s">
        <v>60</v>
      </c>
      <c r="C21" s="111" t="s">
        <v>694</v>
      </c>
      <c r="D21" s="106" t="s">
        <v>62</v>
      </c>
      <c r="E21" s="112">
        <v>15</v>
      </c>
      <c r="F21" s="120"/>
      <c r="G21" s="121"/>
      <c r="H21" s="122">
        <f t="shared" si="7"/>
        <v>0</v>
      </c>
      <c r="I21" s="121"/>
      <c r="J21" s="121"/>
      <c r="K21" s="179">
        <f t="shared" si="8"/>
        <v>0</v>
      </c>
      <c r="L21" s="184">
        <f t="shared" si="9"/>
        <v>0</v>
      </c>
      <c r="M21" s="121">
        <f t="shared" si="10"/>
        <v>0</v>
      </c>
      <c r="N21" s="121">
        <f t="shared" si="11"/>
        <v>0</v>
      </c>
      <c r="O21" s="121">
        <f t="shared" si="12"/>
        <v>0</v>
      </c>
      <c r="P21" s="123">
        <f t="shared" si="13"/>
        <v>0</v>
      </c>
      <c r="Q21" s="290"/>
      <c r="R21" s="291"/>
      <c r="S21" s="291"/>
      <c r="T21" s="291"/>
      <c r="U21" s="291"/>
    </row>
    <row r="22" spans="1:21" ht="39.6" x14ac:dyDescent="0.2">
      <c r="A22" s="110">
        <v>8</v>
      </c>
      <c r="B22" s="106" t="s">
        <v>60</v>
      </c>
      <c r="C22" s="111" t="s">
        <v>219</v>
      </c>
      <c r="D22" s="106" t="s">
        <v>68</v>
      </c>
      <c r="E22" s="112">
        <v>1</v>
      </c>
      <c r="F22" s="120"/>
      <c r="G22" s="121"/>
      <c r="H22" s="122">
        <f t="shared" si="7"/>
        <v>0</v>
      </c>
      <c r="I22" s="121"/>
      <c r="J22" s="121"/>
      <c r="K22" s="179">
        <f t="shared" si="8"/>
        <v>0</v>
      </c>
      <c r="L22" s="184">
        <f t="shared" si="9"/>
        <v>0</v>
      </c>
      <c r="M22" s="121">
        <f t="shared" si="10"/>
        <v>0</v>
      </c>
      <c r="N22" s="121">
        <f t="shared" si="11"/>
        <v>0</v>
      </c>
      <c r="O22" s="121">
        <f t="shared" si="12"/>
        <v>0</v>
      </c>
      <c r="P22" s="123">
        <f t="shared" si="13"/>
        <v>0</v>
      </c>
    </row>
    <row r="23" spans="1:21" ht="13.2" x14ac:dyDescent="0.2">
      <c r="A23" s="140"/>
      <c r="B23" s="107"/>
      <c r="C23" s="141" t="s">
        <v>95</v>
      </c>
      <c r="D23" s="142"/>
      <c r="E23" s="143"/>
      <c r="F23" s="144"/>
      <c r="G23" s="145"/>
      <c r="H23" s="122"/>
      <c r="I23" s="145"/>
      <c r="J23" s="145"/>
      <c r="K23" s="188"/>
      <c r="L23" s="189"/>
      <c r="M23" s="145"/>
      <c r="N23" s="145"/>
      <c r="O23" s="146"/>
      <c r="P23" s="147"/>
    </row>
    <row r="24" spans="1:21" ht="13.2" x14ac:dyDescent="0.2">
      <c r="A24" s="110">
        <v>1</v>
      </c>
      <c r="B24" s="106" t="s">
        <v>60</v>
      </c>
      <c r="C24" s="100" t="s">
        <v>276</v>
      </c>
      <c r="D24" s="106" t="s">
        <v>73</v>
      </c>
      <c r="E24" s="112">
        <v>455</v>
      </c>
      <c r="F24" s="120"/>
      <c r="G24" s="121"/>
      <c r="H24" s="122">
        <f t="shared" ref="H24" si="14">ROUND(F24*G24,2)</f>
        <v>0</v>
      </c>
      <c r="I24" s="121"/>
      <c r="J24" s="121"/>
      <c r="K24" s="179">
        <f>ROUND(H24+J24+I24,2)</f>
        <v>0</v>
      </c>
      <c r="L24" s="184">
        <f>ROUND(E24*F24,2)</f>
        <v>0</v>
      </c>
      <c r="M24" s="121">
        <f>ROUND(E24*H24,2)</f>
        <v>0</v>
      </c>
      <c r="N24" s="121">
        <f>ROUND(E24*I24,2)</f>
        <v>0</v>
      </c>
      <c r="O24" s="121">
        <f>ROUND(E24*J24,2)</f>
        <v>0</v>
      </c>
      <c r="P24" s="123">
        <f>ROUND(O24+N24+M24,2)</f>
        <v>0</v>
      </c>
    </row>
    <row r="25" spans="1:21" ht="26.4" x14ac:dyDescent="0.2">
      <c r="A25" s="110">
        <v>2</v>
      </c>
      <c r="B25" s="106" t="s">
        <v>60</v>
      </c>
      <c r="C25" s="100" t="s">
        <v>220</v>
      </c>
      <c r="D25" s="106" t="s">
        <v>73</v>
      </c>
      <c r="E25" s="112">
        <v>455</v>
      </c>
      <c r="F25" s="120"/>
      <c r="G25" s="121"/>
      <c r="H25" s="122">
        <f t="shared" ref="H25:H31" si="15">ROUND(F25*G25,2)</f>
        <v>0</v>
      </c>
      <c r="I25" s="121"/>
      <c r="J25" s="121"/>
      <c r="K25" s="179">
        <f>ROUND(H25+J25+I25,2)</f>
        <v>0</v>
      </c>
      <c r="L25" s="184">
        <f>ROUND(E25*F25,2)</f>
        <v>0</v>
      </c>
      <c r="M25" s="121">
        <f>ROUND(E25*H25,2)</f>
        <v>0</v>
      </c>
      <c r="N25" s="121">
        <f>ROUND(E25*I25,2)</f>
        <v>0</v>
      </c>
      <c r="O25" s="121">
        <f>ROUND(E25*J25,2)</f>
        <v>0</v>
      </c>
      <c r="P25" s="123">
        <f>ROUND(O25+N25+M25,2)</f>
        <v>0</v>
      </c>
    </row>
    <row r="26" spans="1:21" ht="13.2" x14ac:dyDescent="0.2">
      <c r="A26" s="110">
        <v>3</v>
      </c>
      <c r="B26" s="106"/>
      <c r="C26" s="99" t="s">
        <v>98</v>
      </c>
      <c r="D26" s="106" t="s">
        <v>96</v>
      </c>
      <c r="E26" s="112">
        <f>E25*0.12</f>
        <v>54.6</v>
      </c>
      <c r="F26" s="120"/>
      <c r="G26" s="121"/>
      <c r="H26" s="122"/>
      <c r="I26" s="121"/>
      <c r="J26" s="121"/>
      <c r="K26" s="179">
        <f t="shared" ref="K26:K34" si="16">ROUND(H26+J26+I26,2)</f>
        <v>0</v>
      </c>
      <c r="L26" s="184">
        <f t="shared" ref="L26:L34" si="17">ROUND(E26*F26,2)</f>
        <v>0</v>
      </c>
      <c r="M26" s="121">
        <f t="shared" ref="M26:M34" si="18">ROUND(E26*H26,2)</f>
        <v>0</v>
      </c>
      <c r="N26" s="121">
        <f t="shared" ref="N26:N34" si="19">ROUND(E26*I26,2)</f>
        <v>0</v>
      </c>
      <c r="O26" s="121">
        <f t="shared" ref="O26:O34" si="20">ROUND(E26*J26,2)</f>
        <v>0</v>
      </c>
      <c r="P26" s="123">
        <f t="shared" ref="P26:P34" si="21">ROUND(O26+N26+M26,2)</f>
        <v>0</v>
      </c>
    </row>
    <row r="27" spans="1:21" ht="26.4" x14ac:dyDescent="0.2">
      <c r="A27" s="110">
        <v>4</v>
      </c>
      <c r="B27" s="106"/>
      <c r="C27" s="99" t="s">
        <v>108</v>
      </c>
      <c r="D27" s="106" t="s">
        <v>109</v>
      </c>
      <c r="E27" s="112">
        <f>E25*5</f>
        <v>2275</v>
      </c>
      <c r="F27" s="120"/>
      <c r="G27" s="121"/>
      <c r="H27" s="122"/>
      <c r="I27" s="121"/>
      <c r="J27" s="121"/>
      <c r="K27" s="179">
        <f t="shared" si="16"/>
        <v>0</v>
      </c>
      <c r="L27" s="184">
        <f t="shared" si="17"/>
        <v>0</v>
      </c>
      <c r="M27" s="121">
        <f t="shared" si="18"/>
        <v>0</v>
      </c>
      <c r="N27" s="121">
        <f t="shared" si="19"/>
        <v>0</v>
      </c>
      <c r="O27" s="121">
        <f t="shared" si="20"/>
        <v>0</v>
      </c>
      <c r="P27" s="123">
        <f t="shared" si="21"/>
        <v>0</v>
      </c>
    </row>
    <row r="28" spans="1:21" ht="26.4" x14ac:dyDescent="0.2">
      <c r="A28" s="110">
        <v>5</v>
      </c>
      <c r="B28" s="106" t="s">
        <v>60</v>
      </c>
      <c r="C28" s="100" t="s">
        <v>97</v>
      </c>
      <c r="D28" s="106" t="s">
        <v>73</v>
      </c>
      <c r="E28" s="112">
        <f>E25</f>
        <v>455</v>
      </c>
      <c r="F28" s="120"/>
      <c r="G28" s="121"/>
      <c r="H28" s="122">
        <f t="shared" si="15"/>
        <v>0</v>
      </c>
      <c r="I28" s="121"/>
      <c r="J28" s="121"/>
      <c r="K28" s="179">
        <f>ROUND(H28+J28+I28,2)</f>
        <v>0</v>
      </c>
      <c r="L28" s="184">
        <f>ROUND(E28*F28,2)</f>
        <v>0</v>
      </c>
      <c r="M28" s="121">
        <f>ROUND(E28*H28,2)</f>
        <v>0</v>
      </c>
      <c r="N28" s="121">
        <f>ROUND(E28*I28,2)</f>
        <v>0</v>
      </c>
      <c r="O28" s="121">
        <f>ROUND(E28*J28,2)</f>
        <v>0</v>
      </c>
      <c r="P28" s="123">
        <f>ROUND(O28+N28+M28,2)</f>
        <v>0</v>
      </c>
    </row>
    <row r="29" spans="1:21" ht="13.2" x14ac:dyDescent="0.2">
      <c r="A29" s="110">
        <v>6</v>
      </c>
      <c r="B29" s="106"/>
      <c r="C29" s="99" t="s">
        <v>127</v>
      </c>
      <c r="D29" s="106" t="s">
        <v>99</v>
      </c>
      <c r="E29" s="112">
        <f>E28*5</f>
        <v>2275</v>
      </c>
      <c r="F29" s="120"/>
      <c r="G29" s="121"/>
      <c r="H29" s="122"/>
      <c r="I29" s="121"/>
      <c r="J29" s="121"/>
      <c r="K29" s="179">
        <f t="shared" ref="K29" si="22">ROUND(H29+J29+I29,2)</f>
        <v>0</v>
      </c>
      <c r="L29" s="184">
        <f t="shared" ref="L29" si="23">ROUND(E29*F29,2)</f>
        <v>0</v>
      </c>
      <c r="M29" s="121">
        <f t="shared" ref="M29" si="24">ROUND(E29*H29,2)</f>
        <v>0</v>
      </c>
      <c r="N29" s="121">
        <f t="shared" ref="N29" si="25">ROUND(E29*I29,2)</f>
        <v>0</v>
      </c>
      <c r="O29" s="121">
        <f t="shared" ref="O29" si="26">ROUND(E29*J29,2)</f>
        <v>0</v>
      </c>
      <c r="P29" s="123">
        <f t="shared" ref="P29" si="27">ROUND(O29+N29+M29,2)</f>
        <v>0</v>
      </c>
    </row>
    <row r="30" spans="1:21" ht="26.4" x14ac:dyDescent="0.2">
      <c r="A30" s="110">
        <v>7</v>
      </c>
      <c r="B30" s="106"/>
      <c r="C30" s="99" t="s">
        <v>221</v>
      </c>
      <c r="D30" s="106" t="s">
        <v>73</v>
      </c>
      <c r="E30" s="112">
        <f>E28*1.02</f>
        <v>464.1</v>
      </c>
      <c r="F30" s="120"/>
      <c r="G30" s="121"/>
      <c r="H30" s="122"/>
      <c r="I30" s="121"/>
      <c r="J30" s="121"/>
      <c r="K30" s="179">
        <f t="shared" si="16"/>
        <v>0</v>
      </c>
      <c r="L30" s="184">
        <f t="shared" si="17"/>
        <v>0</v>
      </c>
      <c r="M30" s="121">
        <f t="shared" si="18"/>
        <v>0</v>
      </c>
      <c r="N30" s="121">
        <f t="shared" si="19"/>
        <v>0</v>
      </c>
      <c r="O30" s="121">
        <f t="shared" si="20"/>
        <v>0</v>
      </c>
      <c r="P30" s="123">
        <f t="shared" si="21"/>
        <v>0</v>
      </c>
    </row>
    <row r="31" spans="1:21" ht="26.4" x14ac:dyDescent="0.2">
      <c r="A31" s="110">
        <v>8</v>
      </c>
      <c r="B31" s="106" t="s">
        <v>60</v>
      </c>
      <c r="C31" s="100" t="s">
        <v>100</v>
      </c>
      <c r="D31" s="106" t="s">
        <v>73</v>
      </c>
      <c r="E31" s="112">
        <f>E28</f>
        <v>455</v>
      </c>
      <c r="F31" s="120"/>
      <c r="G31" s="121"/>
      <c r="H31" s="122">
        <f t="shared" si="15"/>
        <v>0</v>
      </c>
      <c r="I31" s="121"/>
      <c r="J31" s="121"/>
      <c r="K31" s="179">
        <f t="shared" si="16"/>
        <v>0</v>
      </c>
      <c r="L31" s="184">
        <f t="shared" si="17"/>
        <v>0</v>
      </c>
      <c r="M31" s="121">
        <f t="shared" si="18"/>
        <v>0</v>
      </c>
      <c r="N31" s="121">
        <f t="shared" si="19"/>
        <v>0</v>
      </c>
      <c r="O31" s="121">
        <f t="shared" si="20"/>
        <v>0</v>
      </c>
      <c r="P31" s="123">
        <f t="shared" si="21"/>
        <v>0</v>
      </c>
    </row>
    <row r="32" spans="1:21" ht="13.2" x14ac:dyDescent="0.2">
      <c r="A32" s="110">
        <v>9</v>
      </c>
      <c r="B32" s="106"/>
      <c r="C32" s="99" t="s">
        <v>113</v>
      </c>
      <c r="D32" s="106" t="s">
        <v>96</v>
      </c>
      <c r="E32" s="112">
        <f>E31*0.12</f>
        <v>54.6</v>
      </c>
      <c r="F32" s="120"/>
      <c r="G32" s="121"/>
      <c r="H32" s="122"/>
      <c r="I32" s="121"/>
      <c r="J32" s="121"/>
      <c r="K32" s="179">
        <f t="shared" si="16"/>
        <v>0</v>
      </c>
      <c r="L32" s="184">
        <f t="shared" si="17"/>
        <v>0</v>
      </c>
      <c r="M32" s="121">
        <f t="shared" si="18"/>
        <v>0</v>
      </c>
      <c r="N32" s="121">
        <f t="shared" si="19"/>
        <v>0</v>
      </c>
      <c r="O32" s="121">
        <f t="shared" si="20"/>
        <v>0</v>
      </c>
      <c r="P32" s="123">
        <f t="shared" si="21"/>
        <v>0</v>
      </c>
    </row>
    <row r="33" spans="1:16" ht="26.4" x14ac:dyDescent="0.2">
      <c r="A33" s="110">
        <v>10</v>
      </c>
      <c r="B33" s="106"/>
      <c r="C33" s="99" t="s">
        <v>222</v>
      </c>
      <c r="D33" s="106" t="s">
        <v>99</v>
      </c>
      <c r="E33" s="112">
        <f>E31*4.5</f>
        <v>2047.5</v>
      </c>
      <c r="F33" s="120"/>
      <c r="G33" s="121"/>
      <c r="H33" s="122"/>
      <c r="I33" s="121"/>
      <c r="J33" s="121"/>
      <c r="K33" s="179">
        <f t="shared" si="16"/>
        <v>0</v>
      </c>
      <c r="L33" s="184">
        <f t="shared" si="17"/>
        <v>0</v>
      </c>
      <c r="M33" s="121">
        <f t="shared" si="18"/>
        <v>0</v>
      </c>
      <c r="N33" s="121">
        <f t="shared" si="19"/>
        <v>0</v>
      </c>
      <c r="O33" s="121">
        <f t="shared" si="20"/>
        <v>0</v>
      </c>
      <c r="P33" s="123">
        <f t="shared" si="21"/>
        <v>0</v>
      </c>
    </row>
    <row r="34" spans="1:16" ht="13.8" thickBot="1" x14ac:dyDescent="0.25">
      <c r="A34" s="110">
        <v>11</v>
      </c>
      <c r="B34" s="106"/>
      <c r="C34" s="99" t="s">
        <v>101</v>
      </c>
      <c r="D34" s="106" t="s">
        <v>73</v>
      </c>
      <c r="E34" s="112">
        <f>E31*1.2</f>
        <v>546</v>
      </c>
      <c r="F34" s="120"/>
      <c r="G34" s="121"/>
      <c r="H34" s="122"/>
      <c r="I34" s="121"/>
      <c r="J34" s="121"/>
      <c r="K34" s="179">
        <f t="shared" si="16"/>
        <v>0</v>
      </c>
      <c r="L34" s="184">
        <f t="shared" si="17"/>
        <v>0</v>
      </c>
      <c r="M34" s="121">
        <f t="shared" si="18"/>
        <v>0</v>
      </c>
      <c r="N34" s="121">
        <f t="shared" si="19"/>
        <v>0</v>
      </c>
      <c r="O34" s="121">
        <f t="shared" si="20"/>
        <v>0</v>
      </c>
      <c r="P34" s="123">
        <f t="shared" si="21"/>
        <v>0</v>
      </c>
    </row>
    <row r="35" spans="1:16" ht="10.8" thickBot="1" x14ac:dyDescent="0.25">
      <c r="A35" s="285" t="s">
        <v>701</v>
      </c>
      <c r="B35" s="286"/>
      <c r="C35" s="286"/>
      <c r="D35" s="286"/>
      <c r="E35" s="286"/>
      <c r="F35" s="286"/>
      <c r="G35" s="286"/>
      <c r="H35" s="286"/>
      <c r="I35" s="286"/>
      <c r="J35" s="286"/>
      <c r="K35" s="287"/>
      <c r="L35" s="69">
        <f>SUM(L14:L34)</f>
        <v>0</v>
      </c>
      <c r="M35" s="70">
        <f>SUM(M14:M34)</f>
        <v>0</v>
      </c>
      <c r="N35" s="70">
        <f>SUM(N14:N34)</f>
        <v>0</v>
      </c>
      <c r="O35" s="70">
        <f>SUM(O14:O34)</f>
        <v>0</v>
      </c>
      <c r="P35" s="71">
        <f>SUM(P14:P34)</f>
        <v>0</v>
      </c>
    </row>
    <row r="36" spans="1:16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1" t="s">
        <v>14</v>
      </c>
      <c r="B38" s="17"/>
      <c r="C38" s="284">
        <f>'Kops a'!C37:H37</f>
        <v>0</v>
      </c>
      <c r="D38" s="284"/>
      <c r="E38" s="284"/>
      <c r="F38" s="284"/>
      <c r="G38" s="284"/>
      <c r="H38" s="284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17"/>
      <c r="B39" s="17"/>
      <c r="C39" s="219" t="s">
        <v>15</v>
      </c>
      <c r="D39" s="219"/>
      <c r="E39" s="219"/>
      <c r="F39" s="219"/>
      <c r="G39" s="219"/>
      <c r="H39" s="219"/>
      <c r="I39" s="17"/>
      <c r="J39" s="17"/>
      <c r="K39" s="17"/>
      <c r="L39" s="17"/>
      <c r="M39" s="17"/>
      <c r="N39" s="17"/>
      <c r="O39" s="17"/>
      <c r="P39" s="17"/>
    </row>
    <row r="40" spans="1:16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2">
      <c r="A41" s="88" t="str">
        <f>'Kops a'!A40</f>
        <v xml:space="preserve">Tāme sastādīta </v>
      </c>
      <c r="B41" s="89"/>
      <c r="C41" s="89"/>
      <c r="D41" s="89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2">
      <c r="A43" s="1" t="s">
        <v>37</v>
      </c>
      <c r="B43" s="17"/>
      <c r="C43" s="284">
        <f>'Kops a'!C42:H42</f>
        <v>0</v>
      </c>
      <c r="D43" s="284"/>
      <c r="E43" s="284"/>
      <c r="F43" s="284"/>
      <c r="G43" s="284"/>
      <c r="H43" s="284"/>
      <c r="I43" s="17"/>
      <c r="J43" s="17"/>
      <c r="K43" s="17"/>
      <c r="L43" s="17"/>
      <c r="M43" s="17"/>
      <c r="N43" s="17"/>
      <c r="O43" s="17"/>
      <c r="P43" s="17"/>
    </row>
    <row r="44" spans="1:16" x14ac:dyDescent="0.2">
      <c r="A44" s="17"/>
      <c r="B44" s="17"/>
      <c r="C44" s="219" t="s">
        <v>15</v>
      </c>
      <c r="D44" s="219"/>
      <c r="E44" s="219"/>
      <c r="F44" s="219"/>
      <c r="G44" s="219"/>
      <c r="H44" s="219"/>
      <c r="I44" s="17"/>
      <c r="J44" s="17"/>
      <c r="K44" s="17"/>
      <c r="L44" s="17"/>
      <c r="M44" s="17"/>
      <c r="N44" s="17"/>
      <c r="O44" s="17"/>
      <c r="P44" s="17"/>
    </row>
    <row r="45" spans="1:16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2">
      <c r="A46" s="88" t="s">
        <v>54</v>
      </c>
      <c r="B46" s="89"/>
      <c r="C46" s="93">
        <f>'Kops a'!C45</f>
        <v>0</v>
      </c>
      <c r="D46" s="50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</sheetData>
  <mergeCells count="23">
    <mergeCell ref="C44:H44"/>
    <mergeCell ref="C4:I4"/>
    <mergeCell ref="F12:K12"/>
    <mergeCell ref="J9:M9"/>
    <mergeCell ref="D8:L8"/>
    <mergeCell ref="A35:K35"/>
    <mergeCell ref="C38:H38"/>
    <mergeCell ref="C39:H39"/>
    <mergeCell ref="C43:H43"/>
    <mergeCell ref="A12:A13"/>
    <mergeCell ref="B12:B13"/>
    <mergeCell ref="C12:C13"/>
    <mergeCell ref="D12:D13"/>
    <mergeCell ref="E12:E13"/>
    <mergeCell ref="A9:F9"/>
    <mergeCell ref="Q21:U21"/>
    <mergeCell ref="C2:I2"/>
    <mergeCell ref="C3:I3"/>
    <mergeCell ref="D5:L5"/>
    <mergeCell ref="D6:L6"/>
    <mergeCell ref="D7:L7"/>
    <mergeCell ref="N9:O9"/>
    <mergeCell ref="L12:P12"/>
  </mergeCells>
  <conditionalFormatting sqref="I15:J34 A15:G34">
    <cfRule type="cellIs" dxfId="314" priority="42" operator="equal">
      <formula>0</formula>
    </cfRule>
  </conditionalFormatting>
  <conditionalFormatting sqref="N9:O9 H14:H34 K14:P34">
    <cfRule type="cellIs" dxfId="313" priority="41" operator="equal">
      <formula>0</formula>
    </cfRule>
  </conditionalFormatting>
  <conditionalFormatting sqref="A9:F9">
    <cfRule type="containsText" dxfId="312" priority="39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311" priority="38" operator="equal">
      <formula>0</formula>
    </cfRule>
  </conditionalFormatting>
  <conditionalFormatting sqref="O10">
    <cfRule type="cellIs" dxfId="310" priority="37" operator="equal">
      <formula>"20__. gada __. _________"</formula>
    </cfRule>
  </conditionalFormatting>
  <conditionalFormatting sqref="A35:K35">
    <cfRule type="containsText" dxfId="309" priority="36" operator="containsText" text="Tiešās izmaksas kopā, t. sk. darba devēja sociālais nodoklis __.__% ">
      <formula>NOT(ISERROR(SEARCH("Tiešās izmaksas kopā, t. sk. darba devēja sociālais nodoklis __.__% ",A35)))</formula>
    </cfRule>
  </conditionalFormatting>
  <conditionalFormatting sqref="L35:P35">
    <cfRule type="cellIs" dxfId="308" priority="31" operator="equal">
      <formula>0</formula>
    </cfRule>
  </conditionalFormatting>
  <conditionalFormatting sqref="C4:I4">
    <cfRule type="cellIs" dxfId="307" priority="30" operator="equal">
      <formula>0</formula>
    </cfRule>
  </conditionalFormatting>
  <conditionalFormatting sqref="D5:L8">
    <cfRule type="cellIs" dxfId="306" priority="27" operator="equal">
      <formula>0</formula>
    </cfRule>
  </conditionalFormatting>
  <conditionalFormatting sqref="A14:B14 D14:G14">
    <cfRule type="cellIs" dxfId="305" priority="26" operator="equal">
      <formula>0</formula>
    </cfRule>
  </conditionalFormatting>
  <conditionalFormatting sqref="C14">
    <cfRule type="cellIs" dxfId="304" priority="25" operator="equal">
      <formula>0</formula>
    </cfRule>
  </conditionalFormatting>
  <conditionalFormatting sqref="I14:J14">
    <cfRule type="cellIs" dxfId="303" priority="24" operator="equal">
      <formula>0</formula>
    </cfRule>
  </conditionalFormatting>
  <conditionalFormatting sqref="P10">
    <cfRule type="cellIs" dxfId="302" priority="23" operator="equal">
      <formula>"20__. gada __. _________"</formula>
    </cfRule>
  </conditionalFormatting>
  <conditionalFormatting sqref="C43:H43">
    <cfRule type="cellIs" dxfId="301" priority="20" operator="equal">
      <formula>0</formula>
    </cfRule>
  </conditionalFormatting>
  <conditionalFormatting sqref="C38:H38">
    <cfRule type="cellIs" dxfId="300" priority="19" operator="equal">
      <formula>0</formula>
    </cfRule>
  </conditionalFormatting>
  <conditionalFormatting sqref="C43:H43 C46 C38:H38">
    <cfRule type="cellIs" dxfId="299" priority="18" operator="equal">
      <formula>0</formula>
    </cfRule>
  </conditionalFormatting>
  <conditionalFormatting sqref="D1">
    <cfRule type="cellIs" dxfId="298" priority="17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2" operator="containsText" id="{D422C369-7259-49E7-A89B-9D562DEE2E41}">
            <xm:f>NOT(ISERROR(SEARCH("Tāme sastādīta ____. gada ___. ______________",A41)))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A41</xm:sqref>
        </x14:conditionalFormatting>
        <x14:conditionalFormatting xmlns:xm="http://schemas.microsoft.com/office/excel/2006/main">
          <x14:cfRule type="containsText" priority="21" operator="containsText" id="{D859E3E6-089F-4F16-889A-98EF63E5F3AC}">
            <xm:f>NOT(ISERROR(SEARCH("Sertifikāta Nr. _________________________________",A46)))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V50"/>
  <sheetViews>
    <sheetView zoomScaleNormal="100" workbookViewId="0">
      <selection activeCell="A9" sqref="A9:F9"/>
    </sheetView>
  </sheetViews>
  <sheetFormatPr defaultColWidth="9.109375" defaultRowHeight="10.199999999999999" x14ac:dyDescent="0.2"/>
  <cols>
    <col min="1" max="1" width="4.5546875" style="1" customWidth="1"/>
    <col min="2" max="2" width="9.44140625" style="1" bestFit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3" width="7.6640625" style="1" customWidth="1"/>
    <col min="14" max="14" width="8.109375" style="1" customWidth="1"/>
    <col min="15" max="15" width="7.6640625" style="1" customWidth="1"/>
    <col min="16" max="16" width="9" style="1" customWidth="1"/>
    <col min="17" max="16384" width="9.109375" style="1"/>
  </cols>
  <sheetData>
    <row r="1" spans="1:17" x14ac:dyDescent="0.2">
      <c r="A1" s="23"/>
      <c r="B1" s="23"/>
      <c r="C1" s="27" t="s">
        <v>38</v>
      </c>
      <c r="D1" s="51">
        <f>'Kops a'!A18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7" x14ac:dyDescent="0.2">
      <c r="A2" s="29"/>
      <c r="B2" s="29"/>
      <c r="C2" s="267" t="s">
        <v>104</v>
      </c>
      <c r="D2" s="267"/>
      <c r="E2" s="267"/>
      <c r="F2" s="267"/>
      <c r="G2" s="267"/>
      <c r="H2" s="267"/>
      <c r="I2" s="267"/>
      <c r="J2" s="29"/>
    </row>
    <row r="3" spans="1:17" x14ac:dyDescent="0.2">
      <c r="A3" s="30"/>
      <c r="B3" s="30"/>
      <c r="C3" s="228" t="s">
        <v>17</v>
      </c>
      <c r="D3" s="228"/>
      <c r="E3" s="228"/>
      <c r="F3" s="228"/>
      <c r="G3" s="228"/>
      <c r="H3" s="228"/>
      <c r="I3" s="228"/>
      <c r="J3" s="30"/>
    </row>
    <row r="4" spans="1:17" x14ac:dyDescent="0.2">
      <c r="A4" s="30"/>
      <c r="B4" s="30"/>
      <c r="C4" s="268" t="s">
        <v>52</v>
      </c>
      <c r="D4" s="268"/>
      <c r="E4" s="268"/>
      <c r="F4" s="268"/>
      <c r="G4" s="268"/>
      <c r="H4" s="268"/>
      <c r="I4" s="268"/>
      <c r="J4" s="30"/>
    </row>
    <row r="5" spans="1:17" x14ac:dyDescent="0.2">
      <c r="A5" s="23"/>
      <c r="B5" s="23"/>
      <c r="C5" s="27" t="s">
        <v>5</v>
      </c>
      <c r="D5" s="281" t="str">
        <f>'Kops a'!D6</f>
        <v>DAUDZDZĪVOKĻU DZĪVOJAMĀ ĒKA</v>
      </c>
      <c r="E5" s="281"/>
      <c r="F5" s="281"/>
      <c r="G5" s="281"/>
      <c r="H5" s="281"/>
      <c r="I5" s="281"/>
      <c r="J5" s="281"/>
      <c r="K5" s="281"/>
      <c r="L5" s="281"/>
      <c r="M5" s="17"/>
      <c r="N5" s="17"/>
      <c r="O5" s="17"/>
      <c r="P5" s="17"/>
    </row>
    <row r="6" spans="1:17" x14ac:dyDescent="0.2">
      <c r="A6" s="23"/>
      <c r="B6" s="23"/>
      <c r="C6" s="27" t="s">
        <v>6</v>
      </c>
      <c r="D6" s="281" t="str">
        <f>'Kops a'!D7</f>
        <v>ENERGOEFEKTIVITĀTES PAAUGSTINĀŠANA DAUDZDZĪVOKĻU DZĪVOJAMAI ĒKAI</v>
      </c>
      <c r="E6" s="281"/>
      <c r="F6" s="281"/>
      <c r="G6" s="281"/>
      <c r="H6" s="281"/>
      <c r="I6" s="281"/>
      <c r="J6" s="281"/>
      <c r="K6" s="281"/>
      <c r="L6" s="281"/>
      <c r="M6" s="17"/>
      <c r="N6" s="17"/>
      <c r="O6" s="17"/>
      <c r="P6" s="17"/>
    </row>
    <row r="7" spans="1:17" x14ac:dyDescent="0.2">
      <c r="A7" s="23"/>
      <c r="B7" s="23"/>
      <c r="C7" s="27" t="s">
        <v>7</v>
      </c>
      <c r="D7" s="281" t="str">
        <f>'Kops a'!D8</f>
        <v>Pasta iela 34, Jelgava, ēkas kad. apz. 0900 001 0177 001</v>
      </c>
      <c r="E7" s="281"/>
      <c r="F7" s="281"/>
      <c r="G7" s="281"/>
      <c r="H7" s="281"/>
      <c r="I7" s="281"/>
      <c r="J7" s="281"/>
      <c r="K7" s="281"/>
      <c r="L7" s="281"/>
      <c r="M7" s="17"/>
      <c r="N7" s="17"/>
      <c r="O7" s="17"/>
      <c r="P7" s="17"/>
    </row>
    <row r="8" spans="1:17" x14ac:dyDescent="0.2">
      <c r="A8" s="23"/>
      <c r="B8" s="23"/>
      <c r="C8" s="4" t="s">
        <v>20</v>
      </c>
      <c r="D8" s="281">
        <f>'Kops a'!D9</f>
        <v>0</v>
      </c>
      <c r="E8" s="281"/>
      <c r="F8" s="281"/>
      <c r="G8" s="281"/>
      <c r="H8" s="281"/>
      <c r="I8" s="281"/>
      <c r="J8" s="281"/>
      <c r="K8" s="281"/>
      <c r="L8" s="281"/>
      <c r="M8" s="17"/>
      <c r="N8" s="17"/>
      <c r="O8" s="17"/>
      <c r="P8" s="17"/>
    </row>
    <row r="9" spans="1:17" ht="11.25" customHeight="1" x14ac:dyDescent="0.2">
      <c r="A9" s="269" t="s">
        <v>702</v>
      </c>
      <c r="B9" s="269"/>
      <c r="C9" s="269"/>
      <c r="D9" s="269"/>
      <c r="E9" s="269"/>
      <c r="F9" s="269"/>
      <c r="G9" s="31"/>
      <c r="H9" s="31"/>
      <c r="I9" s="31"/>
      <c r="J9" s="273" t="s">
        <v>39</v>
      </c>
      <c r="K9" s="273"/>
      <c r="L9" s="273"/>
      <c r="M9" s="273"/>
      <c r="N9" s="280">
        <f>P38</f>
        <v>0</v>
      </c>
      <c r="O9" s="280"/>
      <c r="P9" s="31"/>
    </row>
    <row r="10" spans="1:17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1"/>
      <c r="P10" s="90" t="str">
        <f>A44</f>
        <v xml:space="preserve">Tāme sastādīta </v>
      </c>
    </row>
    <row r="11" spans="1:17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7" x14ac:dyDescent="0.2">
      <c r="A12" s="239" t="s">
        <v>23</v>
      </c>
      <c r="B12" s="275" t="s">
        <v>40</v>
      </c>
      <c r="C12" s="271" t="s">
        <v>41</v>
      </c>
      <c r="D12" s="278" t="s">
        <v>42</v>
      </c>
      <c r="E12" s="282" t="s">
        <v>43</v>
      </c>
      <c r="F12" s="270" t="s">
        <v>44</v>
      </c>
      <c r="G12" s="271"/>
      <c r="H12" s="271"/>
      <c r="I12" s="271"/>
      <c r="J12" s="271"/>
      <c r="K12" s="272"/>
      <c r="L12" s="270" t="s">
        <v>45</v>
      </c>
      <c r="M12" s="271"/>
      <c r="N12" s="271"/>
      <c r="O12" s="271"/>
      <c r="P12" s="272"/>
    </row>
    <row r="13" spans="1:17" ht="126.75" customHeight="1" thickBot="1" x14ac:dyDescent="0.25">
      <c r="A13" s="274"/>
      <c r="B13" s="276"/>
      <c r="C13" s="277"/>
      <c r="D13" s="279"/>
      <c r="E13" s="283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7" ht="13.2" x14ac:dyDescent="0.2">
      <c r="A14" s="125"/>
      <c r="B14" s="126"/>
      <c r="C14" s="127" t="s">
        <v>223</v>
      </c>
      <c r="D14" s="128"/>
      <c r="E14" s="129"/>
      <c r="F14" s="130"/>
      <c r="G14" s="131"/>
      <c r="H14" s="132"/>
      <c r="I14" s="131"/>
      <c r="J14" s="131"/>
      <c r="K14" s="186"/>
      <c r="L14" s="187"/>
      <c r="M14" s="131"/>
      <c r="N14" s="131"/>
      <c r="O14" s="131"/>
      <c r="P14" s="133"/>
      <c r="Q14" s="23"/>
    </row>
    <row r="15" spans="1:17" ht="79.2" x14ac:dyDescent="0.2">
      <c r="A15" s="113">
        <v>1</v>
      </c>
      <c r="B15" s="149" t="s">
        <v>60</v>
      </c>
      <c r="C15" s="108" t="s">
        <v>277</v>
      </c>
      <c r="D15" s="135" t="s">
        <v>64</v>
      </c>
      <c r="E15" s="109">
        <v>4</v>
      </c>
      <c r="F15" s="120"/>
      <c r="G15" s="121"/>
      <c r="H15" s="122">
        <f t="shared" ref="H15:H22" si="0">ROUND(F15*G15,2)</f>
        <v>0</v>
      </c>
      <c r="I15" s="121"/>
      <c r="J15" s="121"/>
      <c r="K15" s="179">
        <f t="shared" ref="K15:K25" si="1">ROUND(H15+J15+I15,2)</f>
        <v>0</v>
      </c>
      <c r="L15" s="184">
        <f t="shared" ref="L15:L25" si="2">ROUND(E15*F15,2)</f>
        <v>0</v>
      </c>
      <c r="M15" s="121">
        <f t="shared" ref="M15:M25" si="3">ROUND(E15*H15,2)</f>
        <v>0</v>
      </c>
      <c r="N15" s="121">
        <f t="shared" ref="N15:N25" si="4">ROUND(E15*I15,2)</f>
        <v>0</v>
      </c>
      <c r="O15" s="121">
        <f t="shared" ref="O15:O25" si="5">ROUND(E15*J15,2)</f>
        <v>0</v>
      </c>
      <c r="P15" s="123">
        <f t="shared" ref="P15:P25" si="6">ROUND(O15+N15+M15,2)</f>
        <v>0</v>
      </c>
      <c r="Q15" s="23"/>
    </row>
    <row r="16" spans="1:17" ht="79.2" x14ac:dyDescent="0.2">
      <c r="A16" s="113">
        <v>2</v>
      </c>
      <c r="B16" s="149" t="s">
        <v>60</v>
      </c>
      <c r="C16" s="108" t="s">
        <v>278</v>
      </c>
      <c r="D16" s="135" t="s">
        <v>64</v>
      </c>
      <c r="E16" s="109">
        <v>1</v>
      </c>
      <c r="F16" s="120"/>
      <c r="G16" s="121"/>
      <c r="H16" s="122">
        <f t="shared" si="0"/>
        <v>0</v>
      </c>
      <c r="I16" s="121"/>
      <c r="J16" s="121"/>
      <c r="K16" s="179">
        <f t="shared" si="1"/>
        <v>0</v>
      </c>
      <c r="L16" s="184">
        <f t="shared" si="2"/>
        <v>0</v>
      </c>
      <c r="M16" s="121">
        <f t="shared" si="3"/>
        <v>0</v>
      </c>
      <c r="N16" s="121">
        <f t="shared" si="4"/>
        <v>0</v>
      </c>
      <c r="O16" s="121">
        <f t="shared" si="5"/>
        <v>0</v>
      </c>
      <c r="P16" s="123">
        <f t="shared" si="6"/>
        <v>0</v>
      </c>
      <c r="Q16" s="23"/>
    </row>
    <row r="17" spans="1:20" ht="79.2" x14ac:dyDescent="0.2">
      <c r="A17" s="113">
        <v>3</v>
      </c>
      <c r="B17" s="149" t="s">
        <v>60</v>
      </c>
      <c r="C17" s="108" t="s">
        <v>279</v>
      </c>
      <c r="D17" s="135" t="s">
        <v>64</v>
      </c>
      <c r="E17" s="109">
        <v>3</v>
      </c>
      <c r="F17" s="120"/>
      <c r="G17" s="121"/>
      <c r="H17" s="122">
        <f t="shared" si="0"/>
        <v>0</v>
      </c>
      <c r="I17" s="121"/>
      <c r="J17" s="121"/>
      <c r="K17" s="179">
        <f t="shared" si="1"/>
        <v>0</v>
      </c>
      <c r="L17" s="184">
        <f t="shared" si="2"/>
        <v>0</v>
      </c>
      <c r="M17" s="121">
        <f t="shared" si="3"/>
        <v>0</v>
      </c>
      <c r="N17" s="121">
        <f t="shared" si="4"/>
        <v>0</v>
      </c>
      <c r="O17" s="121">
        <f t="shared" si="5"/>
        <v>0</v>
      </c>
      <c r="P17" s="123">
        <f t="shared" si="6"/>
        <v>0</v>
      </c>
      <c r="Q17" s="23"/>
    </row>
    <row r="18" spans="1:20" ht="79.2" x14ac:dyDescent="0.2">
      <c r="A18" s="113">
        <v>4</v>
      </c>
      <c r="B18" s="149" t="s">
        <v>60</v>
      </c>
      <c r="C18" s="108" t="s">
        <v>280</v>
      </c>
      <c r="D18" s="135" t="s">
        <v>64</v>
      </c>
      <c r="E18" s="109">
        <v>22</v>
      </c>
      <c r="F18" s="120"/>
      <c r="G18" s="121"/>
      <c r="H18" s="122">
        <f t="shared" si="0"/>
        <v>0</v>
      </c>
      <c r="I18" s="121"/>
      <c r="J18" s="121"/>
      <c r="K18" s="179">
        <f t="shared" si="1"/>
        <v>0</v>
      </c>
      <c r="L18" s="184">
        <f t="shared" si="2"/>
        <v>0</v>
      </c>
      <c r="M18" s="121">
        <f t="shared" si="3"/>
        <v>0</v>
      </c>
      <c r="N18" s="121">
        <f t="shared" si="4"/>
        <v>0</v>
      </c>
      <c r="O18" s="121">
        <f t="shared" si="5"/>
        <v>0</v>
      </c>
      <c r="P18" s="123">
        <f t="shared" si="6"/>
        <v>0</v>
      </c>
      <c r="Q18" s="23"/>
    </row>
    <row r="19" spans="1:20" ht="79.2" x14ac:dyDescent="0.2">
      <c r="A19" s="113">
        <v>5</v>
      </c>
      <c r="B19" s="149" t="s">
        <v>60</v>
      </c>
      <c r="C19" s="108" t="s">
        <v>281</v>
      </c>
      <c r="D19" s="135" t="s">
        <v>64</v>
      </c>
      <c r="E19" s="109">
        <v>12</v>
      </c>
      <c r="F19" s="120"/>
      <c r="G19" s="121"/>
      <c r="H19" s="122">
        <f t="shared" si="0"/>
        <v>0</v>
      </c>
      <c r="I19" s="121"/>
      <c r="J19" s="121"/>
      <c r="K19" s="179">
        <f t="shared" si="1"/>
        <v>0</v>
      </c>
      <c r="L19" s="184">
        <f t="shared" si="2"/>
        <v>0</v>
      </c>
      <c r="M19" s="121">
        <f t="shared" si="3"/>
        <v>0</v>
      </c>
      <c r="N19" s="121">
        <f t="shared" si="4"/>
        <v>0</v>
      </c>
      <c r="O19" s="121">
        <f t="shared" si="5"/>
        <v>0</v>
      </c>
      <c r="P19" s="123">
        <f t="shared" si="6"/>
        <v>0</v>
      </c>
      <c r="Q19" s="23"/>
    </row>
    <row r="20" spans="1:20" ht="79.2" x14ac:dyDescent="0.2">
      <c r="A20" s="113">
        <v>6</v>
      </c>
      <c r="B20" s="149" t="s">
        <v>60</v>
      </c>
      <c r="C20" s="108" t="s">
        <v>282</v>
      </c>
      <c r="D20" s="135" t="s">
        <v>64</v>
      </c>
      <c r="E20" s="109">
        <v>11</v>
      </c>
      <c r="F20" s="120"/>
      <c r="G20" s="121"/>
      <c r="H20" s="122">
        <f t="shared" si="0"/>
        <v>0</v>
      </c>
      <c r="I20" s="121"/>
      <c r="J20" s="121"/>
      <c r="K20" s="179">
        <f t="shared" si="1"/>
        <v>0</v>
      </c>
      <c r="L20" s="184">
        <f t="shared" si="2"/>
        <v>0</v>
      </c>
      <c r="M20" s="121">
        <f t="shared" si="3"/>
        <v>0</v>
      </c>
      <c r="N20" s="121">
        <f t="shared" si="4"/>
        <v>0</v>
      </c>
      <c r="O20" s="121">
        <f t="shared" si="5"/>
        <v>0</v>
      </c>
      <c r="P20" s="123">
        <f t="shared" si="6"/>
        <v>0</v>
      </c>
      <c r="Q20" s="23"/>
    </row>
    <row r="21" spans="1:20" ht="79.2" x14ac:dyDescent="0.2">
      <c r="A21" s="113">
        <v>7</v>
      </c>
      <c r="B21" s="149" t="s">
        <v>60</v>
      </c>
      <c r="C21" s="108" t="s">
        <v>283</v>
      </c>
      <c r="D21" s="135" t="s">
        <v>64</v>
      </c>
      <c r="E21" s="109">
        <v>11</v>
      </c>
      <c r="F21" s="120"/>
      <c r="G21" s="121"/>
      <c r="H21" s="122">
        <f t="shared" si="0"/>
        <v>0</v>
      </c>
      <c r="I21" s="121"/>
      <c r="J21" s="121"/>
      <c r="K21" s="179">
        <f t="shared" si="1"/>
        <v>0</v>
      </c>
      <c r="L21" s="184">
        <f t="shared" si="2"/>
        <v>0</v>
      </c>
      <c r="M21" s="121">
        <f t="shared" si="3"/>
        <v>0</v>
      </c>
      <c r="N21" s="121">
        <f t="shared" si="4"/>
        <v>0</v>
      </c>
      <c r="O21" s="121">
        <f t="shared" si="5"/>
        <v>0</v>
      </c>
      <c r="P21" s="123">
        <f t="shared" si="6"/>
        <v>0</v>
      </c>
      <c r="Q21" s="23"/>
    </row>
    <row r="22" spans="1:20" ht="79.2" x14ac:dyDescent="0.2">
      <c r="A22" s="113">
        <v>8</v>
      </c>
      <c r="B22" s="149" t="s">
        <v>60</v>
      </c>
      <c r="C22" s="108" t="s">
        <v>284</v>
      </c>
      <c r="D22" s="135" t="s">
        <v>64</v>
      </c>
      <c r="E22" s="109">
        <v>12</v>
      </c>
      <c r="F22" s="120"/>
      <c r="G22" s="121"/>
      <c r="H22" s="122">
        <f t="shared" si="0"/>
        <v>0</v>
      </c>
      <c r="I22" s="121"/>
      <c r="J22" s="121"/>
      <c r="K22" s="179">
        <f t="shared" si="1"/>
        <v>0</v>
      </c>
      <c r="L22" s="184">
        <f t="shared" si="2"/>
        <v>0</v>
      </c>
      <c r="M22" s="121">
        <f t="shared" si="3"/>
        <v>0</v>
      </c>
      <c r="N22" s="121">
        <f t="shared" si="4"/>
        <v>0</v>
      </c>
      <c r="O22" s="121">
        <f t="shared" si="5"/>
        <v>0</v>
      </c>
      <c r="P22" s="123">
        <f t="shared" si="6"/>
        <v>0</v>
      </c>
    </row>
    <row r="23" spans="1:20" ht="39.6" x14ac:dyDescent="0.2">
      <c r="A23" s="113">
        <v>9</v>
      </c>
      <c r="B23" s="149" t="s">
        <v>60</v>
      </c>
      <c r="C23" s="108" t="s">
        <v>285</v>
      </c>
      <c r="D23" s="135" t="s">
        <v>64</v>
      </c>
      <c r="E23" s="109">
        <v>91</v>
      </c>
      <c r="F23" s="120"/>
      <c r="G23" s="121"/>
      <c r="H23" s="122">
        <f>ROUND(F23*G23,2)</f>
        <v>0</v>
      </c>
      <c r="I23" s="121"/>
      <c r="J23" s="121"/>
      <c r="K23" s="179">
        <f t="shared" si="1"/>
        <v>0</v>
      </c>
      <c r="L23" s="184">
        <f t="shared" si="2"/>
        <v>0</v>
      </c>
      <c r="M23" s="121">
        <f t="shared" si="3"/>
        <v>0</v>
      </c>
      <c r="N23" s="121">
        <f t="shared" si="4"/>
        <v>0</v>
      </c>
      <c r="O23" s="121">
        <f t="shared" si="5"/>
        <v>0</v>
      </c>
      <c r="P23" s="123">
        <f t="shared" si="6"/>
        <v>0</v>
      </c>
      <c r="Q23" s="292"/>
      <c r="R23" s="291"/>
      <c r="S23" s="291"/>
      <c r="T23" s="291"/>
    </row>
    <row r="24" spans="1:20" ht="52.8" x14ac:dyDescent="0.2">
      <c r="A24" s="113">
        <v>10</v>
      </c>
      <c r="B24" s="149" t="s">
        <v>60</v>
      </c>
      <c r="C24" s="108" t="s">
        <v>695</v>
      </c>
      <c r="D24" s="135" t="s">
        <v>64</v>
      </c>
      <c r="E24" s="109">
        <v>68</v>
      </c>
      <c r="F24" s="120"/>
      <c r="G24" s="121"/>
      <c r="H24" s="122">
        <f>ROUND(F24*G24,2)</f>
        <v>0</v>
      </c>
      <c r="I24" s="121"/>
      <c r="J24" s="121"/>
      <c r="K24" s="179">
        <f t="shared" ref="K24" si="7">ROUND(H24+J24+I24,2)</f>
        <v>0</v>
      </c>
      <c r="L24" s="184">
        <f t="shared" ref="L24" si="8">ROUND(E24*F24,2)</f>
        <v>0</v>
      </c>
      <c r="M24" s="121">
        <f t="shared" ref="M24" si="9">ROUND(E24*H24,2)</f>
        <v>0</v>
      </c>
      <c r="N24" s="121">
        <f t="shared" ref="N24" si="10">ROUND(E24*I24,2)</f>
        <v>0</v>
      </c>
      <c r="O24" s="121">
        <f t="shared" ref="O24" si="11">ROUND(E24*J24,2)</f>
        <v>0</v>
      </c>
      <c r="P24" s="123">
        <f t="shared" ref="P24" si="12">ROUND(O24+N24+M24,2)</f>
        <v>0</v>
      </c>
      <c r="Q24" s="292"/>
      <c r="R24" s="291"/>
      <c r="S24" s="291"/>
      <c r="T24" s="291"/>
    </row>
    <row r="25" spans="1:20" ht="13.2" x14ac:dyDescent="0.2">
      <c r="A25" s="113">
        <v>11</v>
      </c>
      <c r="B25" s="149" t="s">
        <v>60</v>
      </c>
      <c r="C25" s="108" t="s">
        <v>103</v>
      </c>
      <c r="D25" s="135" t="s">
        <v>68</v>
      </c>
      <c r="E25" s="109">
        <f>SUM(E15:E22)</f>
        <v>76</v>
      </c>
      <c r="F25" s="120"/>
      <c r="G25" s="121"/>
      <c r="H25" s="122">
        <f t="shared" ref="H25" si="13">ROUND(F25*G25,2)</f>
        <v>0</v>
      </c>
      <c r="I25" s="121"/>
      <c r="J25" s="121"/>
      <c r="K25" s="179">
        <f t="shared" si="1"/>
        <v>0</v>
      </c>
      <c r="L25" s="184">
        <f t="shared" si="2"/>
        <v>0</v>
      </c>
      <c r="M25" s="121">
        <f t="shared" si="3"/>
        <v>0</v>
      </c>
      <c r="N25" s="121">
        <f t="shared" si="4"/>
        <v>0</v>
      </c>
      <c r="O25" s="121">
        <f t="shared" si="5"/>
        <v>0</v>
      </c>
      <c r="P25" s="123">
        <f t="shared" si="6"/>
        <v>0</v>
      </c>
    </row>
    <row r="26" spans="1:20" ht="13.2" x14ac:dyDescent="0.2">
      <c r="A26" s="115"/>
      <c r="B26" s="106"/>
      <c r="C26" s="136" t="s">
        <v>224</v>
      </c>
      <c r="D26" s="116"/>
      <c r="E26" s="137"/>
      <c r="F26" s="120"/>
      <c r="G26" s="121"/>
      <c r="H26" s="122"/>
      <c r="I26" s="121"/>
      <c r="J26" s="121"/>
      <c r="K26" s="179"/>
      <c r="L26" s="184"/>
      <c r="M26" s="121"/>
      <c r="N26" s="121"/>
      <c r="O26" s="121"/>
      <c r="P26" s="123"/>
    </row>
    <row r="27" spans="1:20" ht="52.8" x14ac:dyDescent="0.2">
      <c r="A27" s="113">
        <v>1</v>
      </c>
      <c r="B27" s="149" t="s">
        <v>60</v>
      </c>
      <c r="C27" s="108" t="s">
        <v>225</v>
      </c>
      <c r="D27" s="135" t="s">
        <v>64</v>
      </c>
      <c r="E27" s="109">
        <v>1</v>
      </c>
      <c r="F27" s="120"/>
      <c r="G27" s="121"/>
      <c r="H27" s="122">
        <f t="shared" ref="H27:H32" si="14">ROUND(F27*G27,2)</f>
        <v>0</v>
      </c>
      <c r="I27" s="121"/>
      <c r="J27" s="121"/>
      <c r="K27" s="179">
        <f t="shared" ref="K27:K33" si="15">ROUND(H27+J27+I27,2)</f>
        <v>0</v>
      </c>
      <c r="L27" s="184">
        <f t="shared" ref="L27:L33" si="16">ROUND(E27*F27,2)</f>
        <v>0</v>
      </c>
      <c r="M27" s="121">
        <f t="shared" ref="M27:M33" si="17">ROUND(E27*H27,2)</f>
        <v>0</v>
      </c>
      <c r="N27" s="121">
        <f t="shared" ref="N27:N33" si="18">ROUND(E27*I27,2)</f>
        <v>0</v>
      </c>
      <c r="O27" s="121">
        <f t="shared" ref="O27:O33" si="19">ROUND(E27*J27,2)</f>
        <v>0</v>
      </c>
      <c r="P27" s="123">
        <f t="shared" ref="P27:P33" si="20">ROUND(O27+N27+M27,2)</f>
        <v>0</v>
      </c>
    </row>
    <row r="28" spans="1:20" ht="79.2" x14ac:dyDescent="0.2">
      <c r="A28" s="113">
        <v>2</v>
      </c>
      <c r="B28" s="149" t="s">
        <v>60</v>
      </c>
      <c r="C28" s="108" t="s">
        <v>233</v>
      </c>
      <c r="D28" s="135" t="s">
        <v>64</v>
      </c>
      <c r="E28" s="109">
        <v>1</v>
      </c>
      <c r="F28" s="120"/>
      <c r="G28" s="121"/>
      <c r="H28" s="122">
        <f t="shared" si="14"/>
        <v>0</v>
      </c>
      <c r="I28" s="121"/>
      <c r="J28" s="121"/>
      <c r="K28" s="179">
        <f t="shared" si="15"/>
        <v>0</v>
      </c>
      <c r="L28" s="184">
        <f t="shared" si="16"/>
        <v>0</v>
      </c>
      <c r="M28" s="121">
        <f t="shared" si="17"/>
        <v>0</v>
      </c>
      <c r="N28" s="121">
        <f t="shared" si="18"/>
        <v>0</v>
      </c>
      <c r="O28" s="121">
        <f t="shared" si="19"/>
        <v>0</v>
      </c>
      <c r="P28" s="123">
        <f t="shared" si="20"/>
        <v>0</v>
      </c>
    </row>
    <row r="29" spans="1:20" ht="105.6" x14ac:dyDescent="0.2">
      <c r="A29" s="113">
        <v>3</v>
      </c>
      <c r="B29" s="149" t="s">
        <v>60</v>
      </c>
      <c r="C29" s="108" t="s">
        <v>226</v>
      </c>
      <c r="D29" s="135" t="s">
        <v>64</v>
      </c>
      <c r="E29" s="109">
        <v>1</v>
      </c>
      <c r="F29" s="120"/>
      <c r="G29" s="121"/>
      <c r="H29" s="122">
        <f t="shared" si="14"/>
        <v>0</v>
      </c>
      <c r="I29" s="121"/>
      <c r="J29" s="121"/>
      <c r="K29" s="179">
        <f t="shared" si="15"/>
        <v>0</v>
      </c>
      <c r="L29" s="184">
        <f t="shared" si="16"/>
        <v>0</v>
      </c>
      <c r="M29" s="121">
        <f t="shared" si="17"/>
        <v>0</v>
      </c>
      <c r="N29" s="121">
        <f t="shared" si="18"/>
        <v>0</v>
      </c>
      <c r="O29" s="121">
        <f t="shared" si="19"/>
        <v>0</v>
      </c>
      <c r="P29" s="123">
        <f t="shared" si="20"/>
        <v>0</v>
      </c>
    </row>
    <row r="30" spans="1:20" ht="79.2" x14ac:dyDescent="0.2">
      <c r="A30" s="113">
        <v>4</v>
      </c>
      <c r="B30" s="149" t="s">
        <v>60</v>
      </c>
      <c r="C30" s="108" t="s">
        <v>232</v>
      </c>
      <c r="D30" s="135" t="s">
        <v>64</v>
      </c>
      <c r="E30" s="109">
        <v>1</v>
      </c>
      <c r="F30" s="120"/>
      <c r="G30" s="121"/>
      <c r="H30" s="122">
        <f t="shared" si="14"/>
        <v>0</v>
      </c>
      <c r="I30" s="121"/>
      <c r="J30" s="121"/>
      <c r="K30" s="179">
        <f t="shared" si="15"/>
        <v>0</v>
      </c>
      <c r="L30" s="184">
        <f t="shared" si="16"/>
        <v>0</v>
      </c>
      <c r="M30" s="121">
        <f t="shared" si="17"/>
        <v>0</v>
      </c>
      <c r="N30" s="121">
        <f t="shared" si="18"/>
        <v>0</v>
      </c>
      <c r="O30" s="121">
        <f t="shared" si="19"/>
        <v>0</v>
      </c>
      <c r="P30" s="123">
        <f t="shared" si="20"/>
        <v>0</v>
      </c>
    </row>
    <row r="31" spans="1:20" ht="52.8" x14ac:dyDescent="0.2">
      <c r="A31" s="113">
        <v>5</v>
      </c>
      <c r="B31" s="149" t="s">
        <v>60</v>
      </c>
      <c r="C31" s="108" t="s">
        <v>227</v>
      </c>
      <c r="D31" s="135" t="s">
        <v>64</v>
      </c>
      <c r="E31" s="109">
        <v>11</v>
      </c>
      <c r="F31" s="120"/>
      <c r="G31" s="121"/>
      <c r="H31" s="122">
        <f t="shared" si="14"/>
        <v>0</v>
      </c>
      <c r="I31" s="121"/>
      <c r="J31" s="121"/>
      <c r="K31" s="179">
        <f t="shared" si="15"/>
        <v>0</v>
      </c>
      <c r="L31" s="184">
        <f t="shared" si="16"/>
        <v>0</v>
      </c>
      <c r="M31" s="121">
        <f t="shared" si="17"/>
        <v>0</v>
      </c>
      <c r="N31" s="121">
        <f t="shared" si="18"/>
        <v>0</v>
      </c>
      <c r="O31" s="121">
        <f t="shared" si="19"/>
        <v>0</v>
      </c>
      <c r="P31" s="123">
        <f t="shared" si="20"/>
        <v>0</v>
      </c>
    </row>
    <row r="32" spans="1:20" ht="52.8" x14ac:dyDescent="0.2">
      <c r="A32" s="113">
        <v>6</v>
      </c>
      <c r="B32" s="149" t="s">
        <v>60</v>
      </c>
      <c r="C32" s="108" t="s">
        <v>228</v>
      </c>
      <c r="D32" s="135" t="s">
        <v>64</v>
      </c>
      <c r="E32" s="109">
        <v>11</v>
      </c>
      <c r="F32" s="120"/>
      <c r="G32" s="121"/>
      <c r="H32" s="122">
        <f t="shared" si="14"/>
        <v>0</v>
      </c>
      <c r="I32" s="121"/>
      <c r="J32" s="121"/>
      <c r="K32" s="179">
        <f t="shared" si="15"/>
        <v>0</v>
      </c>
      <c r="L32" s="184">
        <f t="shared" si="16"/>
        <v>0</v>
      </c>
      <c r="M32" s="121">
        <f t="shared" si="17"/>
        <v>0</v>
      </c>
      <c r="N32" s="121">
        <f t="shared" si="18"/>
        <v>0</v>
      </c>
      <c r="O32" s="121">
        <f t="shared" si="19"/>
        <v>0</v>
      </c>
      <c r="P32" s="123">
        <f t="shared" si="20"/>
        <v>0</v>
      </c>
    </row>
    <row r="33" spans="1:22" ht="13.2" x14ac:dyDescent="0.2">
      <c r="A33" s="113">
        <v>7</v>
      </c>
      <c r="B33" s="134" t="s">
        <v>60</v>
      </c>
      <c r="C33" s="108" t="s">
        <v>103</v>
      </c>
      <c r="D33" s="135" t="s">
        <v>68</v>
      </c>
      <c r="E33" s="109">
        <f>SUM(E27:E32)</f>
        <v>26</v>
      </c>
      <c r="F33" s="120"/>
      <c r="G33" s="121"/>
      <c r="H33" s="122">
        <f>ROUND(F33*G33,2)</f>
        <v>0</v>
      </c>
      <c r="I33" s="121"/>
      <c r="J33" s="121"/>
      <c r="K33" s="179">
        <f t="shared" si="15"/>
        <v>0</v>
      </c>
      <c r="L33" s="184">
        <f t="shared" si="16"/>
        <v>0</v>
      </c>
      <c r="M33" s="121">
        <f t="shared" si="17"/>
        <v>0</v>
      </c>
      <c r="N33" s="121">
        <f t="shared" si="18"/>
        <v>0</v>
      </c>
      <c r="O33" s="121">
        <f t="shared" si="19"/>
        <v>0</v>
      </c>
      <c r="P33" s="123">
        <f t="shared" si="20"/>
        <v>0</v>
      </c>
      <c r="Q33" s="23"/>
    </row>
    <row r="34" spans="1:22" ht="26.4" x14ac:dyDescent="0.2">
      <c r="A34" s="115"/>
      <c r="B34" s="106"/>
      <c r="C34" s="136" t="s">
        <v>229</v>
      </c>
      <c r="D34" s="116"/>
      <c r="E34" s="137"/>
      <c r="F34" s="120"/>
      <c r="G34" s="121"/>
      <c r="H34" s="122"/>
      <c r="I34" s="121"/>
      <c r="J34" s="121"/>
      <c r="K34" s="179"/>
      <c r="L34" s="184"/>
      <c r="M34" s="121"/>
      <c r="N34" s="121"/>
      <c r="O34" s="121"/>
      <c r="P34" s="123"/>
    </row>
    <row r="35" spans="1:22" ht="39.6" x14ac:dyDescent="0.2">
      <c r="A35" s="113">
        <v>1</v>
      </c>
      <c r="B35" s="149" t="s">
        <v>60</v>
      </c>
      <c r="C35" s="108" t="s">
        <v>231</v>
      </c>
      <c r="D35" s="135" t="s">
        <v>64</v>
      </c>
      <c r="E35" s="109">
        <v>1</v>
      </c>
      <c r="F35" s="120"/>
      <c r="G35" s="121"/>
      <c r="H35" s="122">
        <f>ROUND(F35*G35,2)</f>
        <v>0</v>
      </c>
      <c r="I35" s="121"/>
      <c r="J35" s="121"/>
      <c r="K35" s="179">
        <f>ROUND(H35+J35+I35,2)</f>
        <v>0</v>
      </c>
      <c r="L35" s="184">
        <f>ROUND(E35*F35,2)</f>
        <v>0</v>
      </c>
      <c r="M35" s="121">
        <f>ROUND(E35*H35,2)</f>
        <v>0</v>
      </c>
      <c r="N35" s="121">
        <f>ROUND(E35*I35,2)</f>
        <v>0</v>
      </c>
      <c r="O35" s="121">
        <f>ROUND(E35*J35,2)</f>
        <v>0</v>
      </c>
      <c r="P35" s="123">
        <f>ROUND(O35+N35+M35,2)</f>
        <v>0</v>
      </c>
      <c r="Q35" s="23"/>
    </row>
    <row r="36" spans="1:22" ht="39.6" x14ac:dyDescent="0.2">
      <c r="A36" s="113">
        <v>2</v>
      </c>
      <c r="B36" s="149" t="s">
        <v>60</v>
      </c>
      <c r="C36" s="108" t="s">
        <v>230</v>
      </c>
      <c r="D36" s="135" t="s">
        <v>64</v>
      </c>
      <c r="E36" s="109">
        <v>1</v>
      </c>
      <c r="F36" s="120"/>
      <c r="G36" s="121"/>
      <c r="H36" s="122">
        <f>ROUND(F36*G36,2)</f>
        <v>0</v>
      </c>
      <c r="I36" s="121"/>
      <c r="J36" s="121"/>
      <c r="K36" s="179">
        <f>ROUND(H36+J36+I36,2)</f>
        <v>0</v>
      </c>
      <c r="L36" s="184">
        <f>ROUND(E36*F36,2)</f>
        <v>0</v>
      </c>
      <c r="M36" s="121">
        <f>ROUND(E36*H36,2)</f>
        <v>0</v>
      </c>
      <c r="N36" s="121">
        <f>ROUND(E36*I36,2)</f>
        <v>0</v>
      </c>
      <c r="O36" s="121">
        <f>ROUND(E36*J36,2)</f>
        <v>0</v>
      </c>
      <c r="P36" s="123">
        <f>ROUND(O36+N36+M36,2)</f>
        <v>0</v>
      </c>
      <c r="Q36" s="293"/>
      <c r="R36" s="294"/>
      <c r="S36" s="294"/>
      <c r="T36" s="294"/>
      <c r="U36" s="294"/>
      <c r="V36" s="294"/>
    </row>
    <row r="37" spans="1:22" ht="13.8" thickBot="1" x14ac:dyDescent="0.25">
      <c r="A37" s="113">
        <v>3</v>
      </c>
      <c r="B37" s="134" t="s">
        <v>60</v>
      </c>
      <c r="C37" s="108" t="s">
        <v>103</v>
      </c>
      <c r="D37" s="135" t="s">
        <v>68</v>
      </c>
      <c r="E37" s="109">
        <f>SUM(E35:E36)</f>
        <v>2</v>
      </c>
      <c r="F37" s="120"/>
      <c r="G37" s="121"/>
      <c r="H37" s="122">
        <f>ROUND(F37*G37,2)</f>
        <v>0</v>
      </c>
      <c r="I37" s="121"/>
      <c r="J37" s="121"/>
      <c r="K37" s="179">
        <f t="shared" ref="K37" si="21">ROUND(H37+J37+I37,2)</f>
        <v>0</v>
      </c>
      <c r="L37" s="185">
        <f t="shared" ref="L37" si="22">ROUND(E37*F37,2)</f>
        <v>0</v>
      </c>
      <c r="M37" s="156">
        <f t="shared" ref="M37" si="23">ROUND(E37*H37,2)</f>
        <v>0</v>
      </c>
      <c r="N37" s="156">
        <f t="shared" ref="N37" si="24">ROUND(E37*I37,2)</f>
        <v>0</v>
      </c>
      <c r="O37" s="156">
        <f t="shared" ref="O37" si="25">ROUND(E37*J37,2)</f>
        <v>0</v>
      </c>
      <c r="P37" s="157">
        <f t="shared" ref="P37" si="26">ROUND(O37+N37+M37,2)</f>
        <v>0</v>
      </c>
    </row>
    <row r="38" spans="1:22" ht="10.8" thickBot="1" x14ac:dyDescent="0.25">
      <c r="A38" s="285" t="s">
        <v>700</v>
      </c>
      <c r="B38" s="286"/>
      <c r="C38" s="286"/>
      <c r="D38" s="286"/>
      <c r="E38" s="286"/>
      <c r="F38" s="286"/>
      <c r="G38" s="286"/>
      <c r="H38" s="286"/>
      <c r="I38" s="286"/>
      <c r="J38" s="286"/>
      <c r="K38" s="287"/>
      <c r="L38" s="69">
        <f>SUM(L14:L37)</f>
        <v>0</v>
      </c>
      <c r="M38" s="70">
        <f>SUM(M14:M37)</f>
        <v>0</v>
      </c>
      <c r="N38" s="70">
        <f>SUM(N14:N37)</f>
        <v>0</v>
      </c>
      <c r="O38" s="70">
        <f>SUM(O14:O37)</f>
        <v>0</v>
      </c>
      <c r="P38" s="71">
        <f>SUM(P14:P37)</f>
        <v>0</v>
      </c>
    </row>
    <row r="39" spans="1:22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22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22" x14ac:dyDescent="0.2">
      <c r="A41" s="1" t="s">
        <v>14</v>
      </c>
      <c r="B41" s="17"/>
      <c r="C41" s="284">
        <f>'Kops a'!C37:H37</f>
        <v>0</v>
      </c>
      <c r="D41" s="284"/>
      <c r="E41" s="284"/>
      <c r="F41" s="284"/>
      <c r="G41" s="284"/>
      <c r="H41" s="284"/>
      <c r="I41" s="17"/>
      <c r="J41" s="17"/>
      <c r="K41" s="17"/>
      <c r="L41" s="17"/>
      <c r="M41" s="17"/>
      <c r="N41" s="17"/>
      <c r="O41" s="17"/>
      <c r="P41" s="17"/>
    </row>
    <row r="42" spans="1:22" x14ac:dyDescent="0.2">
      <c r="A42" s="17"/>
      <c r="B42" s="17"/>
      <c r="C42" s="219" t="s">
        <v>15</v>
      </c>
      <c r="D42" s="219"/>
      <c r="E42" s="219"/>
      <c r="F42" s="219"/>
      <c r="G42" s="219"/>
      <c r="H42" s="219"/>
      <c r="I42" s="17"/>
      <c r="J42" s="17"/>
      <c r="K42" s="17"/>
      <c r="L42" s="17"/>
      <c r="M42" s="17"/>
      <c r="N42" s="17"/>
      <c r="O42" s="17"/>
      <c r="P42" s="17"/>
    </row>
    <row r="43" spans="1:22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22" x14ac:dyDescent="0.2">
      <c r="A44" s="88" t="str">
        <f>'Kops a'!A40</f>
        <v xml:space="preserve">Tāme sastādīta </v>
      </c>
      <c r="B44" s="89"/>
      <c r="C44" s="89"/>
      <c r="D44" s="89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22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22" x14ac:dyDescent="0.2">
      <c r="A46" s="1" t="s">
        <v>37</v>
      </c>
      <c r="B46" s="17"/>
      <c r="C46" s="284">
        <f>'Kops a'!C42:H42</f>
        <v>0</v>
      </c>
      <c r="D46" s="284"/>
      <c r="E46" s="284"/>
      <c r="F46" s="284"/>
      <c r="G46" s="284"/>
      <c r="H46" s="284"/>
      <c r="I46" s="17"/>
      <c r="J46" s="17"/>
      <c r="K46" s="17"/>
      <c r="L46" s="17"/>
      <c r="M46" s="17"/>
      <c r="N46" s="17"/>
      <c r="O46" s="17"/>
      <c r="P46" s="17"/>
    </row>
    <row r="47" spans="1:22" x14ac:dyDescent="0.2">
      <c r="A47" s="17"/>
      <c r="B47" s="17"/>
      <c r="C47" s="219" t="s">
        <v>15</v>
      </c>
      <c r="D47" s="219"/>
      <c r="E47" s="219"/>
      <c r="F47" s="219"/>
      <c r="G47" s="219"/>
      <c r="H47" s="219"/>
      <c r="I47" s="17"/>
      <c r="J47" s="17"/>
      <c r="K47" s="17"/>
      <c r="L47" s="17"/>
      <c r="M47" s="17"/>
      <c r="N47" s="17"/>
      <c r="O47" s="17"/>
      <c r="P47" s="17"/>
    </row>
    <row r="48" spans="1:22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x14ac:dyDescent="0.2">
      <c r="A49" s="88" t="s">
        <v>54</v>
      </c>
      <c r="B49" s="89"/>
      <c r="C49" s="93">
        <f>'Kops a'!C45</f>
        <v>0</v>
      </c>
      <c r="D49" s="50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</sheetData>
  <mergeCells count="25">
    <mergeCell ref="Q36:V36"/>
    <mergeCell ref="C47:H47"/>
    <mergeCell ref="C4:I4"/>
    <mergeCell ref="F12:K12"/>
    <mergeCell ref="J9:M9"/>
    <mergeCell ref="D8:L8"/>
    <mergeCell ref="A38:K38"/>
    <mergeCell ref="C41:H41"/>
    <mergeCell ref="C42:H42"/>
    <mergeCell ref="C46:H46"/>
    <mergeCell ref="N9:O9"/>
    <mergeCell ref="A12:A13"/>
    <mergeCell ref="B12:B13"/>
    <mergeCell ref="C12:C13"/>
    <mergeCell ref="D12:D13"/>
    <mergeCell ref="Q23:T23"/>
    <mergeCell ref="Q24:T24"/>
    <mergeCell ref="E12:E13"/>
    <mergeCell ref="L12:P12"/>
    <mergeCell ref="C2:I2"/>
    <mergeCell ref="C3:I3"/>
    <mergeCell ref="D5:L5"/>
    <mergeCell ref="D6:L6"/>
    <mergeCell ref="D7:L7"/>
    <mergeCell ref="A9:F9"/>
  </mergeCells>
  <conditionalFormatting sqref="I15:J37 A15:G37">
    <cfRule type="cellIs" dxfId="295" priority="26" operator="equal">
      <formula>0</formula>
    </cfRule>
  </conditionalFormatting>
  <conditionalFormatting sqref="N9:O9 H14:H37 K14:P37">
    <cfRule type="cellIs" dxfId="294" priority="25" operator="equal">
      <formula>0</formula>
    </cfRule>
  </conditionalFormatting>
  <conditionalFormatting sqref="A9:F9">
    <cfRule type="containsText" dxfId="293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292" priority="22" operator="equal">
      <formula>0</formula>
    </cfRule>
  </conditionalFormatting>
  <conditionalFormatting sqref="O10">
    <cfRule type="cellIs" dxfId="291" priority="21" operator="equal">
      <formula>"20__. gada __. _________"</formula>
    </cfRule>
  </conditionalFormatting>
  <conditionalFormatting sqref="A38:K38">
    <cfRule type="containsText" dxfId="290" priority="20" operator="containsText" text="Tiešās izmaksas kopā, t. sk. darba devēja sociālais nodoklis __.__% ">
      <formula>NOT(ISERROR(SEARCH("Tiešās izmaksas kopā, t. sk. darba devēja sociālais nodoklis __.__% ",A38)))</formula>
    </cfRule>
  </conditionalFormatting>
  <conditionalFormatting sqref="L38:P38">
    <cfRule type="cellIs" dxfId="289" priority="15" operator="equal">
      <formula>0</formula>
    </cfRule>
  </conditionalFormatting>
  <conditionalFormatting sqref="C4:I4">
    <cfRule type="cellIs" dxfId="288" priority="14" operator="equal">
      <formula>0</formula>
    </cfRule>
  </conditionalFormatting>
  <conditionalFormatting sqref="D5:L8">
    <cfRule type="cellIs" dxfId="287" priority="11" operator="equal">
      <formula>0</formula>
    </cfRule>
  </conditionalFormatting>
  <conditionalFormatting sqref="A14:B14 D14:G14">
    <cfRule type="cellIs" dxfId="286" priority="10" operator="equal">
      <formula>0</formula>
    </cfRule>
  </conditionalFormatting>
  <conditionalFormatting sqref="C14">
    <cfRule type="cellIs" dxfId="285" priority="9" operator="equal">
      <formula>0</formula>
    </cfRule>
  </conditionalFormatting>
  <conditionalFormatting sqref="I14:J14">
    <cfRule type="cellIs" dxfId="284" priority="8" operator="equal">
      <formula>0</formula>
    </cfRule>
  </conditionalFormatting>
  <conditionalFormatting sqref="P10">
    <cfRule type="cellIs" dxfId="283" priority="7" operator="equal">
      <formula>"20__. gada __. _________"</formula>
    </cfRule>
  </conditionalFormatting>
  <conditionalFormatting sqref="C46:H46">
    <cfRule type="cellIs" dxfId="282" priority="4" operator="equal">
      <formula>0</formula>
    </cfRule>
  </conditionalFormatting>
  <conditionalFormatting sqref="C41:H41">
    <cfRule type="cellIs" dxfId="281" priority="3" operator="equal">
      <formula>0</formula>
    </cfRule>
  </conditionalFormatting>
  <conditionalFormatting sqref="C46:H46 C49 C41:H41">
    <cfRule type="cellIs" dxfId="280" priority="2" operator="equal">
      <formula>0</formula>
    </cfRule>
  </conditionalFormatting>
  <conditionalFormatting sqref="D1">
    <cfRule type="cellIs" dxfId="279" priority="1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0B610FE1-6F17-46AF-982B-27B20E80701D}">
            <xm:f>NOT(ISERROR(SEARCH("Tāme sastādīta ____. gada ___. ______________",A44)))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A44</xm:sqref>
        </x14:conditionalFormatting>
        <x14:conditionalFormatting xmlns:xm="http://schemas.microsoft.com/office/excel/2006/main">
          <x14:cfRule type="containsText" priority="5" operator="containsText" id="{F3EAEDA8-031E-4BF8-B71A-4A6D64C3BFEB}">
            <xm:f>NOT(ISERROR(SEARCH("Sertifikāta Nr. _________________________________",A49)))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W217"/>
  <sheetViews>
    <sheetView workbookViewId="0">
      <selection activeCell="A9" sqref="A9:F9"/>
    </sheetView>
  </sheetViews>
  <sheetFormatPr defaultColWidth="9.109375" defaultRowHeight="10.199999999999999" x14ac:dyDescent="0.2"/>
  <cols>
    <col min="1" max="1" width="4.5546875" style="1" customWidth="1"/>
    <col min="2" max="2" width="9.44140625" style="1" bestFit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3" width="7.6640625" style="1" customWidth="1"/>
    <col min="14" max="14" width="8.5546875" style="1" customWidth="1"/>
    <col min="15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1">
        <f>'Kops a'!A19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267" t="s">
        <v>105</v>
      </c>
      <c r="D2" s="267"/>
      <c r="E2" s="267"/>
      <c r="F2" s="267"/>
      <c r="G2" s="267"/>
      <c r="H2" s="267"/>
      <c r="I2" s="267"/>
      <c r="J2" s="29"/>
    </row>
    <row r="3" spans="1:16" x14ac:dyDescent="0.2">
      <c r="A3" s="30"/>
      <c r="B3" s="30"/>
      <c r="C3" s="228" t="s">
        <v>17</v>
      </c>
      <c r="D3" s="228"/>
      <c r="E3" s="228"/>
      <c r="F3" s="228"/>
      <c r="G3" s="228"/>
      <c r="H3" s="228"/>
      <c r="I3" s="228"/>
      <c r="J3" s="30"/>
    </row>
    <row r="4" spans="1:16" x14ac:dyDescent="0.2">
      <c r="A4" s="30"/>
      <c r="B4" s="30"/>
      <c r="C4" s="268" t="s">
        <v>52</v>
      </c>
      <c r="D4" s="268"/>
      <c r="E4" s="268"/>
      <c r="F4" s="268"/>
      <c r="G4" s="268"/>
      <c r="H4" s="268"/>
      <c r="I4" s="268"/>
      <c r="J4" s="30"/>
    </row>
    <row r="5" spans="1:16" x14ac:dyDescent="0.2">
      <c r="A5" s="23"/>
      <c r="B5" s="23"/>
      <c r="C5" s="27" t="s">
        <v>5</v>
      </c>
      <c r="D5" s="281" t="str">
        <f>'Kops a'!D6</f>
        <v>DAUDZDZĪVOKĻU DZĪVOJAMĀ ĒKA</v>
      </c>
      <c r="E5" s="281"/>
      <c r="F5" s="281"/>
      <c r="G5" s="281"/>
      <c r="H5" s="281"/>
      <c r="I5" s="281"/>
      <c r="J5" s="281"/>
      <c r="K5" s="281"/>
      <c r="L5" s="281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281" t="str">
        <f>'Kops a'!D7</f>
        <v>ENERGOEFEKTIVITĀTES PAAUGSTINĀŠANA DAUDZDZĪVOKĻU DZĪVOJAMAI ĒKAI</v>
      </c>
      <c r="E6" s="281"/>
      <c r="F6" s="281"/>
      <c r="G6" s="281"/>
      <c r="H6" s="281"/>
      <c r="I6" s="281"/>
      <c r="J6" s="281"/>
      <c r="K6" s="281"/>
      <c r="L6" s="281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281" t="str">
        <f>'Kops a'!D8</f>
        <v>Pasta iela 34, Jelgava, ēkas kad. apz. 0900 001 0177 001</v>
      </c>
      <c r="E7" s="281"/>
      <c r="F7" s="281"/>
      <c r="G7" s="281"/>
      <c r="H7" s="281"/>
      <c r="I7" s="281"/>
      <c r="J7" s="281"/>
      <c r="K7" s="281"/>
      <c r="L7" s="281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281">
        <f>'Kops a'!D9</f>
        <v>0</v>
      </c>
      <c r="E8" s="281"/>
      <c r="F8" s="281"/>
      <c r="G8" s="281"/>
      <c r="H8" s="281"/>
      <c r="I8" s="281"/>
      <c r="J8" s="281"/>
      <c r="K8" s="281"/>
      <c r="L8" s="281"/>
      <c r="M8" s="17"/>
      <c r="N8" s="17"/>
      <c r="O8" s="17"/>
      <c r="P8" s="17"/>
    </row>
    <row r="9" spans="1:16" ht="11.25" customHeight="1" x14ac:dyDescent="0.2">
      <c r="A9" s="269" t="s">
        <v>702</v>
      </c>
      <c r="B9" s="269"/>
      <c r="C9" s="269"/>
      <c r="D9" s="269"/>
      <c r="E9" s="269"/>
      <c r="F9" s="269"/>
      <c r="G9" s="31"/>
      <c r="H9" s="31"/>
      <c r="I9" s="31"/>
      <c r="J9" s="273" t="s">
        <v>39</v>
      </c>
      <c r="K9" s="273"/>
      <c r="L9" s="273"/>
      <c r="M9" s="273"/>
      <c r="N9" s="280">
        <f>P205</f>
        <v>0</v>
      </c>
      <c r="O9" s="280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1"/>
      <c r="P10" s="90" t="str">
        <f>A211</f>
        <v xml:space="preserve">Tāme sastādīta 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239" t="s">
        <v>23</v>
      </c>
      <c r="B12" s="275" t="s">
        <v>40</v>
      </c>
      <c r="C12" s="271" t="s">
        <v>41</v>
      </c>
      <c r="D12" s="278" t="s">
        <v>42</v>
      </c>
      <c r="E12" s="282" t="s">
        <v>43</v>
      </c>
      <c r="F12" s="270" t="s">
        <v>44</v>
      </c>
      <c r="G12" s="271"/>
      <c r="H12" s="271"/>
      <c r="I12" s="271"/>
      <c r="J12" s="271"/>
      <c r="K12" s="272"/>
      <c r="L12" s="270" t="s">
        <v>45</v>
      </c>
      <c r="M12" s="271"/>
      <c r="N12" s="271"/>
      <c r="O12" s="271"/>
      <c r="P12" s="272"/>
    </row>
    <row r="13" spans="1:16" ht="126.75" customHeight="1" thickBot="1" x14ac:dyDescent="0.25">
      <c r="A13" s="274"/>
      <c r="B13" s="276"/>
      <c r="C13" s="277"/>
      <c r="D13" s="279"/>
      <c r="E13" s="283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ht="13.2" x14ac:dyDescent="0.2">
      <c r="A14" s="101"/>
      <c r="B14" s="102"/>
      <c r="C14" s="103" t="s">
        <v>106</v>
      </c>
      <c r="D14" s="104"/>
      <c r="E14" s="105"/>
      <c r="F14" s="138"/>
      <c r="G14" s="139"/>
      <c r="H14" s="139"/>
      <c r="I14" s="139"/>
      <c r="J14" s="139"/>
      <c r="K14" s="190"/>
      <c r="L14" s="191"/>
      <c r="M14" s="139"/>
      <c r="N14" s="139"/>
      <c r="O14" s="139"/>
      <c r="P14" s="150"/>
    </row>
    <row r="15" spans="1:16" ht="26.4" x14ac:dyDescent="0.2">
      <c r="A15" s="110">
        <v>1</v>
      </c>
      <c r="B15" s="106" t="s">
        <v>60</v>
      </c>
      <c r="C15" s="100" t="s">
        <v>107</v>
      </c>
      <c r="D15" s="106" t="s">
        <v>73</v>
      </c>
      <c r="E15" s="151">
        <v>731.89</v>
      </c>
      <c r="F15" s="120"/>
      <c r="G15" s="121"/>
      <c r="H15" s="122">
        <f>ROUND(F15*G15,2)</f>
        <v>0</v>
      </c>
      <c r="I15" s="121"/>
      <c r="J15" s="121"/>
      <c r="K15" s="179">
        <f>ROUND(H15+J15+I15,2)</f>
        <v>0</v>
      </c>
      <c r="L15" s="184">
        <f>ROUND(E15*F15,2)</f>
        <v>0</v>
      </c>
      <c r="M15" s="121">
        <f>ROUND(E15*H15,2)</f>
        <v>0</v>
      </c>
      <c r="N15" s="121">
        <f>ROUND(E15*I15,2)</f>
        <v>0</v>
      </c>
      <c r="O15" s="121">
        <f>ROUND(E15*J15,2)</f>
        <v>0</v>
      </c>
      <c r="P15" s="123">
        <f>ROUND(O15+N15+M15,2)</f>
        <v>0</v>
      </c>
    </row>
    <row r="16" spans="1:16" ht="13.2" x14ac:dyDescent="0.2">
      <c r="A16" s="110">
        <v>2</v>
      </c>
      <c r="B16" s="106"/>
      <c r="C16" s="99" t="s">
        <v>98</v>
      </c>
      <c r="D16" s="106" t="s">
        <v>96</v>
      </c>
      <c r="E16" s="112">
        <f>E15*0.12</f>
        <v>87.826799999999992</v>
      </c>
      <c r="F16" s="120"/>
      <c r="G16" s="121"/>
      <c r="H16" s="122"/>
      <c r="I16" s="121"/>
      <c r="J16" s="121"/>
      <c r="K16" s="179">
        <f t="shared" ref="K16:K36" si="0">ROUND(H16+J16+I16,2)</f>
        <v>0</v>
      </c>
      <c r="L16" s="184">
        <f t="shared" ref="L16:L36" si="1">ROUND(E16*F16,2)</f>
        <v>0</v>
      </c>
      <c r="M16" s="121">
        <f t="shared" ref="M16:M36" si="2">ROUND(E16*H16,2)</f>
        <v>0</v>
      </c>
      <c r="N16" s="121">
        <f t="shared" ref="N16:N36" si="3">ROUND(E16*I16,2)</f>
        <v>0</v>
      </c>
      <c r="O16" s="121">
        <f t="shared" ref="O16:O36" si="4">ROUND(E16*J16,2)</f>
        <v>0</v>
      </c>
      <c r="P16" s="123">
        <f t="shared" ref="P16:P36" si="5">ROUND(O16+N16+M16,2)</f>
        <v>0</v>
      </c>
    </row>
    <row r="17" spans="1:16" ht="26.4" x14ac:dyDescent="0.2">
      <c r="A17" s="110">
        <v>3</v>
      </c>
      <c r="B17" s="106"/>
      <c r="C17" s="99" t="s">
        <v>108</v>
      </c>
      <c r="D17" s="106" t="s">
        <v>109</v>
      </c>
      <c r="E17" s="152">
        <f>E15*5</f>
        <v>3659.45</v>
      </c>
      <c r="F17" s="120"/>
      <c r="G17" s="121"/>
      <c r="H17" s="122"/>
      <c r="I17" s="121"/>
      <c r="J17" s="121"/>
      <c r="K17" s="179">
        <f t="shared" si="0"/>
        <v>0</v>
      </c>
      <c r="L17" s="184">
        <f t="shared" si="1"/>
        <v>0</v>
      </c>
      <c r="M17" s="121">
        <f t="shared" si="2"/>
        <v>0</v>
      </c>
      <c r="N17" s="121">
        <f t="shared" si="3"/>
        <v>0</v>
      </c>
      <c r="O17" s="121">
        <f t="shared" si="4"/>
        <v>0</v>
      </c>
      <c r="P17" s="123">
        <f t="shared" si="5"/>
        <v>0</v>
      </c>
    </row>
    <row r="18" spans="1:16" ht="13.2" x14ac:dyDescent="0.2">
      <c r="A18" s="110">
        <v>4</v>
      </c>
      <c r="B18" s="106" t="s">
        <v>60</v>
      </c>
      <c r="C18" s="100" t="s">
        <v>102</v>
      </c>
      <c r="D18" s="106" t="s">
        <v>73</v>
      </c>
      <c r="E18" s="112">
        <f>E15</f>
        <v>731.89</v>
      </c>
      <c r="F18" s="120"/>
      <c r="G18" s="121"/>
      <c r="H18" s="122">
        <f t="shared" ref="H18:H48" si="6">ROUND(F18*G18,2)</f>
        <v>0</v>
      </c>
      <c r="I18" s="121"/>
      <c r="J18" s="121"/>
      <c r="K18" s="179">
        <f>ROUND(H18+J18+I18,2)</f>
        <v>0</v>
      </c>
      <c r="L18" s="184">
        <f>ROUND(E18*F18,2)</f>
        <v>0</v>
      </c>
      <c r="M18" s="121">
        <f>ROUND(E18*H18,2)</f>
        <v>0</v>
      </c>
      <c r="N18" s="121">
        <f>ROUND(E18*I18,2)</f>
        <v>0</v>
      </c>
      <c r="O18" s="121">
        <f>ROUND(E18*J18,2)</f>
        <v>0</v>
      </c>
      <c r="P18" s="123">
        <f>ROUND(O18+N18+M18,2)</f>
        <v>0</v>
      </c>
    </row>
    <row r="19" spans="1:16" ht="26.4" x14ac:dyDescent="0.2">
      <c r="A19" s="110">
        <v>5</v>
      </c>
      <c r="B19" s="106"/>
      <c r="C19" s="99" t="s">
        <v>289</v>
      </c>
      <c r="D19" s="106" t="s">
        <v>96</v>
      </c>
      <c r="E19" s="112">
        <f>E18*0.12</f>
        <v>87.826799999999992</v>
      </c>
      <c r="F19" s="120"/>
      <c r="G19" s="121"/>
      <c r="H19" s="122"/>
      <c r="I19" s="121"/>
      <c r="J19" s="121"/>
      <c r="K19" s="179">
        <f t="shared" ref="K19:K22" si="7">ROUND(H19+J19+I19,2)</f>
        <v>0</v>
      </c>
      <c r="L19" s="184">
        <f t="shared" ref="L19:L22" si="8">ROUND(E19*F19,2)</f>
        <v>0</v>
      </c>
      <c r="M19" s="121">
        <f t="shared" ref="M19:M22" si="9">ROUND(E19*H19,2)</f>
        <v>0</v>
      </c>
      <c r="N19" s="121">
        <f t="shared" ref="N19:N22" si="10">ROUND(E19*I19,2)</f>
        <v>0</v>
      </c>
      <c r="O19" s="121">
        <f t="shared" ref="O19:O22" si="11">ROUND(E19*J19,2)</f>
        <v>0</v>
      </c>
      <c r="P19" s="123">
        <f t="shared" ref="P19:P22" si="12">ROUND(O19+N19+M19,2)</f>
        <v>0</v>
      </c>
    </row>
    <row r="20" spans="1:16" ht="13.2" x14ac:dyDescent="0.2">
      <c r="A20" s="110">
        <v>6</v>
      </c>
      <c r="B20" s="106"/>
      <c r="C20" s="99" t="s">
        <v>114</v>
      </c>
      <c r="D20" s="106" t="s">
        <v>99</v>
      </c>
      <c r="E20" s="152">
        <f>E18*5</f>
        <v>3659.45</v>
      </c>
      <c r="F20" s="120"/>
      <c r="G20" s="121"/>
      <c r="H20" s="122"/>
      <c r="I20" s="121"/>
      <c r="J20" s="121"/>
      <c r="K20" s="179">
        <f t="shared" si="7"/>
        <v>0</v>
      </c>
      <c r="L20" s="184">
        <f t="shared" si="8"/>
        <v>0</v>
      </c>
      <c r="M20" s="121">
        <f t="shared" si="9"/>
        <v>0</v>
      </c>
      <c r="N20" s="121">
        <f t="shared" si="10"/>
        <v>0</v>
      </c>
      <c r="O20" s="121">
        <f t="shared" si="11"/>
        <v>0</v>
      </c>
      <c r="P20" s="123">
        <f t="shared" si="12"/>
        <v>0</v>
      </c>
    </row>
    <row r="21" spans="1:16" ht="26.4" x14ac:dyDescent="0.2">
      <c r="A21" s="110">
        <v>7</v>
      </c>
      <c r="B21" s="106"/>
      <c r="C21" s="99" t="s">
        <v>379</v>
      </c>
      <c r="D21" s="106" t="s">
        <v>64</v>
      </c>
      <c r="E21" s="152">
        <f>ROUND(E15*8.15,0)</f>
        <v>5965</v>
      </c>
      <c r="F21" s="120"/>
      <c r="G21" s="121"/>
      <c r="H21" s="122"/>
      <c r="I21" s="121"/>
      <c r="J21" s="121"/>
      <c r="K21" s="179">
        <f t="shared" si="7"/>
        <v>0</v>
      </c>
      <c r="L21" s="184">
        <f t="shared" si="8"/>
        <v>0</v>
      </c>
      <c r="M21" s="121">
        <f t="shared" si="9"/>
        <v>0</v>
      </c>
      <c r="N21" s="121">
        <f t="shared" si="10"/>
        <v>0</v>
      </c>
      <c r="O21" s="121">
        <f t="shared" si="11"/>
        <v>0</v>
      </c>
      <c r="P21" s="123">
        <f t="shared" si="12"/>
        <v>0</v>
      </c>
    </row>
    <row r="22" spans="1:16" ht="13.2" x14ac:dyDescent="0.2">
      <c r="A22" s="110">
        <v>8</v>
      </c>
      <c r="B22" s="106"/>
      <c r="C22" s="99" t="s">
        <v>110</v>
      </c>
      <c r="D22" s="106" t="s">
        <v>64</v>
      </c>
      <c r="E22" s="112">
        <f>E21</f>
        <v>5965</v>
      </c>
      <c r="F22" s="120"/>
      <c r="G22" s="121"/>
      <c r="H22" s="122"/>
      <c r="I22" s="121"/>
      <c r="J22" s="121"/>
      <c r="K22" s="179">
        <f t="shared" si="7"/>
        <v>0</v>
      </c>
      <c r="L22" s="184">
        <f t="shared" si="8"/>
        <v>0</v>
      </c>
      <c r="M22" s="121">
        <f t="shared" si="9"/>
        <v>0</v>
      </c>
      <c r="N22" s="121">
        <f t="shared" si="10"/>
        <v>0</v>
      </c>
      <c r="O22" s="121">
        <f t="shared" si="11"/>
        <v>0</v>
      </c>
      <c r="P22" s="123">
        <f t="shared" si="12"/>
        <v>0</v>
      </c>
    </row>
    <row r="23" spans="1:16" ht="39.6" x14ac:dyDescent="0.2">
      <c r="A23" s="110">
        <v>9</v>
      </c>
      <c r="B23" s="106"/>
      <c r="C23" s="99" t="s">
        <v>286</v>
      </c>
      <c r="D23" s="106" t="s">
        <v>73</v>
      </c>
      <c r="E23" s="112">
        <f>E15*1.05</f>
        <v>768.48450000000003</v>
      </c>
      <c r="F23" s="120"/>
      <c r="G23" s="121"/>
      <c r="H23" s="122"/>
      <c r="I23" s="121"/>
      <c r="J23" s="121"/>
      <c r="K23" s="179">
        <f>ROUND(H23+J23+I23,2)</f>
        <v>0</v>
      </c>
      <c r="L23" s="184">
        <f t="shared" si="1"/>
        <v>0</v>
      </c>
      <c r="M23" s="121">
        <f t="shared" si="2"/>
        <v>0</v>
      </c>
      <c r="N23" s="121">
        <f t="shared" si="3"/>
        <v>0</v>
      </c>
      <c r="O23" s="121">
        <f t="shared" si="4"/>
        <v>0</v>
      </c>
      <c r="P23" s="123">
        <f t="shared" si="5"/>
        <v>0</v>
      </c>
    </row>
    <row r="24" spans="1:16" ht="13.2" x14ac:dyDescent="0.2">
      <c r="A24" s="110">
        <v>10</v>
      </c>
      <c r="B24" s="106"/>
      <c r="C24" s="99" t="s">
        <v>111</v>
      </c>
      <c r="D24" s="106" t="s">
        <v>62</v>
      </c>
      <c r="E24" s="112">
        <f>33*1.1</f>
        <v>36.300000000000004</v>
      </c>
      <c r="F24" s="120"/>
      <c r="G24" s="121"/>
      <c r="H24" s="122"/>
      <c r="I24" s="121"/>
      <c r="J24" s="121"/>
      <c r="K24" s="179">
        <f t="shared" si="0"/>
        <v>0</v>
      </c>
      <c r="L24" s="184">
        <f t="shared" si="1"/>
        <v>0</v>
      </c>
      <c r="M24" s="121">
        <f t="shared" si="2"/>
        <v>0</v>
      </c>
      <c r="N24" s="121">
        <f t="shared" si="3"/>
        <v>0</v>
      </c>
      <c r="O24" s="121">
        <f t="shared" si="4"/>
        <v>0</v>
      </c>
      <c r="P24" s="123">
        <f t="shared" si="5"/>
        <v>0</v>
      </c>
    </row>
    <row r="25" spans="1:16" ht="13.2" x14ac:dyDescent="0.2">
      <c r="A25" s="110">
        <v>11</v>
      </c>
      <c r="B25" s="106" t="s">
        <v>60</v>
      </c>
      <c r="C25" s="100" t="s">
        <v>112</v>
      </c>
      <c r="D25" s="106" t="s">
        <v>73</v>
      </c>
      <c r="E25" s="112">
        <f>E18</f>
        <v>731.89</v>
      </c>
      <c r="F25" s="120"/>
      <c r="G25" s="121"/>
      <c r="H25" s="122">
        <f t="shared" si="6"/>
        <v>0</v>
      </c>
      <c r="I25" s="121"/>
      <c r="J25" s="121"/>
      <c r="K25" s="179">
        <f t="shared" si="0"/>
        <v>0</v>
      </c>
      <c r="L25" s="184">
        <f t="shared" si="1"/>
        <v>0</v>
      </c>
      <c r="M25" s="121">
        <f t="shared" si="2"/>
        <v>0</v>
      </c>
      <c r="N25" s="121">
        <f t="shared" si="3"/>
        <v>0</v>
      </c>
      <c r="O25" s="121">
        <f t="shared" si="4"/>
        <v>0</v>
      </c>
      <c r="P25" s="123">
        <f t="shared" si="5"/>
        <v>0</v>
      </c>
    </row>
    <row r="26" spans="1:16" ht="13.2" x14ac:dyDescent="0.2">
      <c r="A26" s="110">
        <v>12</v>
      </c>
      <c r="B26" s="106"/>
      <c r="C26" s="99" t="s">
        <v>113</v>
      </c>
      <c r="D26" s="106" t="s">
        <v>96</v>
      </c>
      <c r="E26" s="112">
        <f>E25*0.12</f>
        <v>87.826799999999992</v>
      </c>
      <c r="F26" s="120"/>
      <c r="G26" s="121"/>
      <c r="H26" s="122"/>
      <c r="I26" s="121"/>
      <c r="J26" s="121"/>
      <c r="K26" s="179">
        <f t="shared" si="0"/>
        <v>0</v>
      </c>
      <c r="L26" s="184">
        <f t="shared" si="1"/>
        <v>0</v>
      </c>
      <c r="M26" s="121">
        <f t="shared" si="2"/>
        <v>0</v>
      </c>
      <c r="N26" s="121">
        <f t="shared" si="3"/>
        <v>0</v>
      </c>
      <c r="O26" s="121">
        <f t="shared" si="4"/>
        <v>0</v>
      </c>
      <c r="P26" s="123">
        <f t="shared" si="5"/>
        <v>0</v>
      </c>
    </row>
    <row r="27" spans="1:16" ht="13.2" x14ac:dyDescent="0.2">
      <c r="A27" s="110">
        <v>13</v>
      </c>
      <c r="B27" s="106"/>
      <c r="C27" s="99" t="s">
        <v>290</v>
      </c>
      <c r="D27" s="106" t="s">
        <v>99</v>
      </c>
      <c r="E27" s="152">
        <f>E25*4.5</f>
        <v>3293.5050000000001</v>
      </c>
      <c r="F27" s="120"/>
      <c r="G27" s="121"/>
      <c r="H27" s="122"/>
      <c r="I27" s="121"/>
      <c r="J27" s="121"/>
      <c r="K27" s="179">
        <f t="shared" si="0"/>
        <v>0</v>
      </c>
      <c r="L27" s="184">
        <f t="shared" si="1"/>
        <v>0</v>
      </c>
      <c r="M27" s="121">
        <f t="shared" si="2"/>
        <v>0</v>
      </c>
      <c r="N27" s="121">
        <f t="shared" si="3"/>
        <v>0</v>
      </c>
      <c r="O27" s="121">
        <f t="shared" si="4"/>
        <v>0</v>
      </c>
      <c r="P27" s="123">
        <f t="shared" si="5"/>
        <v>0</v>
      </c>
    </row>
    <row r="28" spans="1:16" ht="13.2" x14ac:dyDescent="0.2">
      <c r="A28" s="110">
        <v>14</v>
      </c>
      <c r="B28" s="106"/>
      <c r="C28" s="99" t="s">
        <v>101</v>
      </c>
      <c r="D28" s="106" t="s">
        <v>73</v>
      </c>
      <c r="E28" s="112">
        <f>E25*1.2</f>
        <v>878.26799999999992</v>
      </c>
      <c r="F28" s="120"/>
      <c r="G28" s="121"/>
      <c r="H28" s="122"/>
      <c r="I28" s="121"/>
      <c r="J28" s="121"/>
      <c r="K28" s="179">
        <f t="shared" si="0"/>
        <v>0</v>
      </c>
      <c r="L28" s="184">
        <f t="shared" si="1"/>
        <v>0</v>
      </c>
      <c r="M28" s="121">
        <f t="shared" si="2"/>
        <v>0</v>
      </c>
      <c r="N28" s="121">
        <f t="shared" si="3"/>
        <v>0</v>
      </c>
      <c r="O28" s="121">
        <f t="shared" si="4"/>
        <v>0</v>
      </c>
      <c r="P28" s="123">
        <f t="shared" si="5"/>
        <v>0</v>
      </c>
    </row>
    <row r="29" spans="1:16" ht="13.2" x14ac:dyDescent="0.2">
      <c r="A29" s="110">
        <v>15</v>
      </c>
      <c r="B29" s="106"/>
      <c r="C29" s="99" t="s">
        <v>234</v>
      </c>
      <c r="D29" s="106" t="s">
        <v>62</v>
      </c>
      <c r="E29" s="112">
        <f>64*1.1+64*1.1</f>
        <v>140.80000000000001</v>
      </c>
      <c r="F29" s="120"/>
      <c r="G29" s="121"/>
      <c r="H29" s="122"/>
      <c r="I29" s="121"/>
      <c r="J29" s="121"/>
      <c r="K29" s="179">
        <f t="shared" si="0"/>
        <v>0</v>
      </c>
      <c r="L29" s="184">
        <f t="shared" si="1"/>
        <v>0</v>
      </c>
      <c r="M29" s="121">
        <f t="shared" si="2"/>
        <v>0</v>
      </c>
      <c r="N29" s="121">
        <f t="shared" si="3"/>
        <v>0</v>
      </c>
      <c r="O29" s="121">
        <f t="shared" si="4"/>
        <v>0</v>
      </c>
      <c r="P29" s="123">
        <f t="shared" si="5"/>
        <v>0</v>
      </c>
    </row>
    <row r="30" spans="1:16" ht="13.2" x14ac:dyDescent="0.2">
      <c r="A30" s="110">
        <v>16</v>
      </c>
      <c r="B30" s="106" t="s">
        <v>60</v>
      </c>
      <c r="C30" s="100" t="s">
        <v>116</v>
      </c>
      <c r="D30" s="106" t="s">
        <v>73</v>
      </c>
      <c r="E30" s="112">
        <v>12.16</v>
      </c>
      <c r="F30" s="120"/>
      <c r="G30" s="121"/>
      <c r="H30" s="122">
        <f t="shared" si="6"/>
        <v>0</v>
      </c>
      <c r="I30" s="121"/>
      <c r="J30" s="121"/>
      <c r="K30" s="179">
        <f t="shared" si="0"/>
        <v>0</v>
      </c>
      <c r="L30" s="184">
        <f t="shared" si="1"/>
        <v>0</v>
      </c>
      <c r="M30" s="121">
        <f t="shared" si="2"/>
        <v>0</v>
      </c>
      <c r="N30" s="121">
        <f t="shared" si="3"/>
        <v>0</v>
      </c>
      <c r="O30" s="121">
        <f t="shared" si="4"/>
        <v>0</v>
      </c>
      <c r="P30" s="123">
        <f t="shared" si="5"/>
        <v>0</v>
      </c>
    </row>
    <row r="31" spans="1:16" ht="13.2" x14ac:dyDescent="0.2">
      <c r="A31" s="110">
        <v>17</v>
      </c>
      <c r="B31" s="106"/>
      <c r="C31" s="99" t="s">
        <v>118</v>
      </c>
      <c r="D31" s="106" t="s">
        <v>96</v>
      </c>
      <c r="E31" s="112">
        <f>E30*0.12</f>
        <v>1.4592000000000001</v>
      </c>
      <c r="F31" s="120"/>
      <c r="G31" s="121"/>
      <c r="H31" s="122"/>
      <c r="I31" s="121"/>
      <c r="J31" s="121"/>
      <c r="K31" s="179">
        <f t="shared" si="0"/>
        <v>0</v>
      </c>
      <c r="L31" s="184">
        <f t="shared" si="1"/>
        <v>0</v>
      </c>
      <c r="M31" s="121">
        <f t="shared" si="2"/>
        <v>0</v>
      </c>
      <c r="N31" s="121">
        <f t="shared" si="3"/>
        <v>0</v>
      </c>
      <c r="O31" s="121">
        <f t="shared" si="4"/>
        <v>0</v>
      </c>
      <c r="P31" s="123">
        <f t="shared" si="5"/>
        <v>0</v>
      </c>
    </row>
    <row r="32" spans="1:16" ht="13.2" x14ac:dyDescent="0.2">
      <c r="A32" s="110">
        <v>18</v>
      </c>
      <c r="B32" s="106"/>
      <c r="C32" s="99" t="s">
        <v>290</v>
      </c>
      <c r="D32" s="106" t="s">
        <v>99</v>
      </c>
      <c r="E32" s="112">
        <f>E30*4.5*1.5</f>
        <v>82.08</v>
      </c>
      <c r="F32" s="120"/>
      <c r="G32" s="121"/>
      <c r="H32" s="122"/>
      <c r="I32" s="121"/>
      <c r="J32" s="121"/>
      <c r="K32" s="179">
        <f t="shared" si="0"/>
        <v>0</v>
      </c>
      <c r="L32" s="184">
        <f t="shared" si="1"/>
        <v>0</v>
      </c>
      <c r="M32" s="121">
        <f t="shared" si="2"/>
        <v>0</v>
      </c>
      <c r="N32" s="121">
        <f t="shared" si="3"/>
        <v>0</v>
      </c>
      <c r="O32" s="121">
        <f t="shared" si="4"/>
        <v>0</v>
      </c>
      <c r="P32" s="123">
        <f t="shared" si="5"/>
        <v>0</v>
      </c>
    </row>
    <row r="33" spans="1:17" ht="13.2" x14ac:dyDescent="0.2">
      <c r="A33" s="110">
        <v>19</v>
      </c>
      <c r="B33" s="106"/>
      <c r="C33" s="99" t="s">
        <v>101</v>
      </c>
      <c r="D33" s="106" t="s">
        <v>73</v>
      </c>
      <c r="E33" s="112">
        <f>E30*1.2*2</f>
        <v>29.183999999999997</v>
      </c>
      <c r="F33" s="120"/>
      <c r="G33" s="121"/>
      <c r="H33" s="122"/>
      <c r="I33" s="121"/>
      <c r="J33" s="121"/>
      <c r="K33" s="179">
        <f t="shared" si="0"/>
        <v>0</v>
      </c>
      <c r="L33" s="184">
        <f t="shared" si="1"/>
        <v>0</v>
      </c>
      <c r="M33" s="121">
        <f t="shared" si="2"/>
        <v>0</v>
      </c>
      <c r="N33" s="121">
        <f t="shared" si="3"/>
        <v>0</v>
      </c>
      <c r="O33" s="121">
        <f t="shared" si="4"/>
        <v>0</v>
      </c>
      <c r="P33" s="123">
        <f t="shared" si="5"/>
        <v>0</v>
      </c>
    </row>
    <row r="34" spans="1:17" ht="13.2" x14ac:dyDescent="0.2">
      <c r="A34" s="110">
        <v>20</v>
      </c>
      <c r="B34" s="106" t="s">
        <v>60</v>
      </c>
      <c r="C34" s="100" t="s">
        <v>117</v>
      </c>
      <c r="D34" s="106" t="s">
        <v>73</v>
      </c>
      <c r="E34" s="112">
        <f>E25</f>
        <v>731.89</v>
      </c>
      <c r="F34" s="120"/>
      <c r="G34" s="121"/>
      <c r="H34" s="122">
        <f t="shared" si="6"/>
        <v>0</v>
      </c>
      <c r="I34" s="121"/>
      <c r="J34" s="121"/>
      <c r="K34" s="179">
        <f t="shared" si="0"/>
        <v>0</v>
      </c>
      <c r="L34" s="184">
        <f t="shared" si="1"/>
        <v>0</v>
      </c>
      <c r="M34" s="121">
        <f t="shared" si="2"/>
        <v>0</v>
      </c>
      <c r="N34" s="121">
        <f t="shared" si="3"/>
        <v>0</v>
      </c>
      <c r="O34" s="121">
        <f t="shared" si="4"/>
        <v>0</v>
      </c>
      <c r="P34" s="123">
        <f t="shared" si="5"/>
        <v>0</v>
      </c>
    </row>
    <row r="35" spans="1:17" ht="26.4" x14ac:dyDescent="0.2">
      <c r="A35" s="110">
        <v>21</v>
      </c>
      <c r="B35" s="106"/>
      <c r="C35" s="99" t="s">
        <v>291</v>
      </c>
      <c r="D35" s="106" t="s">
        <v>96</v>
      </c>
      <c r="E35" s="112">
        <f>E34*0.12</f>
        <v>87.826799999999992</v>
      </c>
      <c r="F35" s="120"/>
      <c r="G35" s="121"/>
      <c r="H35" s="122"/>
      <c r="I35" s="121"/>
      <c r="J35" s="121"/>
      <c r="K35" s="179">
        <f t="shared" si="0"/>
        <v>0</v>
      </c>
      <c r="L35" s="184">
        <f t="shared" si="1"/>
        <v>0</v>
      </c>
      <c r="M35" s="121">
        <f t="shared" si="2"/>
        <v>0</v>
      </c>
      <c r="N35" s="121">
        <f t="shared" si="3"/>
        <v>0</v>
      </c>
      <c r="O35" s="121">
        <f t="shared" si="4"/>
        <v>0</v>
      </c>
      <c r="P35" s="123">
        <f t="shared" si="5"/>
        <v>0</v>
      </c>
    </row>
    <row r="36" spans="1:17" ht="26.4" x14ac:dyDescent="0.2">
      <c r="A36" s="110">
        <v>22</v>
      </c>
      <c r="B36" s="106"/>
      <c r="C36" s="99" t="s">
        <v>405</v>
      </c>
      <c r="D36" s="106" t="s">
        <v>99</v>
      </c>
      <c r="E36" s="112">
        <f>E34*4</f>
        <v>2927.56</v>
      </c>
      <c r="F36" s="120"/>
      <c r="G36" s="121"/>
      <c r="H36" s="122"/>
      <c r="I36" s="121"/>
      <c r="J36" s="121"/>
      <c r="K36" s="179">
        <f t="shared" si="0"/>
        <v>0</v>
      </c>
      <c r="L36" s="184">
        <f t="shared" si="1"/>
        <v>0</v>
      </c>
      <c r="M36" s="121">
        <f t="shared" si="2"/>
        <v>0</v>
      </c>
      <c r="N36" s="121">
        <f t="shared" si="3"/>
        <v>0</v>
      </c>
      <c r="O36" s="121">
        <f t="shared" si="4"/>
        <v>0</v>
      </c>
      <c r="P36" s="123">
        <f t="shared" si="5"/>
        <v>0</v>
      </c>
    </row>
    <row r="37" spans="1:17" ht="13.2" x14ac:dyDescent="0.2">
      <c r="A37" s="140"/>
      <c r="B37" s="107"/>
      <c r="C37" s="141" t="s">
        <v>235</v>
      </c>
      <c r="D37" s="142"/>
      <c r="E37" s="143"/>
      <c r="F37" s="144"/>
      <c r="G37" s="145"/>
      <c r="H37" s="122"/>
      <c r="I37" s="145"/>
      <c r="J37" s="145"/>
      <c r="K37" s="188"/>
      <c r="L37" s="189"/>
      <c r="M37" s="145"/>
      <c r="N37" s="145"/>
      <c r="O37" s="145"/>
      <c r="P37" s="153"/>
    </row>
    <row r="38" spans="1:17" ht="26.4" x14ac:dyDescent="0.2">
      <c r="A38" s="110">
        <v>1</v>
      </c>
      <c r="B38" s="106" t="s">
        <v>60</v>
      </c>
      <c r="C38" s="100" t="s">
        <v>107</v>
      </c>
      <c r="D38" s="106" t="s">
        <v>73</v>
      </c>
      <c r="E38" s="151">
        <v>969.22</v>
      </c>
      <c r="F38" s="120"/>
      <c r="G38" s="121"/>
      <c r="H38" s="122">
        <f t="shared" si="6"/>
        <v>0</v>
      </c>
      <c r="I38" s="121"/>
      <c r="J38" s="121"/>
      <c r="K38" s="179">
        <f>ROUND(H38+J38+I38,2)</f>
        <v>0</v>
      </c>
      <c r="L38" s="184">
        <f>ROUND(E38*F38,2)</f>
        <v>0</v>
      </c>
      <c r="M38" s="121">
        <f>ROUND(E38*H38,2)</f>
        <v>0</v>
      </c>
      <c r="N38" s="121">
        <f>ROUND(E38*I38,2)</f>
        <v>0</v>
      </c>
      <c r="O38" s="121">
        <f>ROUND(E38*J38,2)</f>
        <v>0</v>
      </c>
      <c r="P38" s="123">
        <f>ROUND(O38+N38+M38,2)</f>
        <v>0</v>
      </c>
    </row>
    <row r="39" spans="1:17" ht="13.2" x14ac:dyDescent="0.2">
      <c r="A39" s="110">
        <v>2</v>
      </c>
      <c r="B39" s="106"/>
      <c r="C39" s="99" t="s">
        <v>98</v>
      </c>
      <c r="D39" s="106" t="s">
        <v>96</v>
      </c>
      <c r="E39" s="112">
        <f>E38*0.12</f>
        <v>116.3064</v>
      </c>
      <c r="F39" s="120"/>
      <c r="G39" s="121"/>
      <c r="H39" s="122"/>
      <c r="I39" s="121"/>
      <c r="J39" s="121"/>
      <c r="K39" s="179">
        <f t="shared" ref="K39:K40" si="13">ROUND(H39+J39+I39,2)</f>
        <v>0</v>
      </c>
      <c r="L39" s="184">
        <f t="shared" ref="L39:L40" si="14">ROUND(E39*F39,2)</f>
        <v>0</v>
      </c>
      <c r="M39" s="121">
        <f t="shared" ref="M39:M40" si="15">ROUND(E39*H39,2)</f>
        <v>0</v>
      </c>
      <c r="N39" s="121">
        <f t="shared" ref="N39:N40" si="16">ROUND(E39*I39,2)</f>
        <v>0</v>
      </c>
      <c r="O39" s="121">
        <f t="shared" ref="O39:O40" si="17">ROUND(E39*J39,2)</f>
        <v>0</v>
      </c>
      <c r="P39" s="123">
        <f t="shared" ref="P39:P40" si="18">ROUND(O39+N39+M39,2)</f>
        <v>0</v>
      </c>
    </row>
    <row r="40" spans="1:17" ht="26.4" x14ac:dyDescent="0.2">
      <c r="A40" s="110">
        <v>3</v>
      </c>
      <c r="B40" s="106"/>
      <c r="C40" s="99" t="s">
        <v>108</v>
      </c>
      <c r="D40" s="106" t="s">
        <v>109</v>
      </c>
      <c r="E40" s="152">
        <f>E38*5</f>
        <v>4846.1000000000004</v>
      </c>
      <c r="F40" s="120"/>
      <c r="G40" s="121"/>
      <c r="H40" s="122"/>
      <c r="I40" s="121"/>
      <c r="J40" s="121"/>
      <c r="K40" s="179">
        <f t="shared" si="13"/>
        <v>0</v>
      </c>
      <c r="L40" s="184">
        <f t="shared" si="14"/>
        <v>0</v>
      </c>
      <c r="M40" s="121">
        <f t="shared" si="15"/>
        <v>0</v>
      </c>
      <c r="N40" s="121">
        <f t="shared" si="16"/>
        <v>0</v>
      </c>
      <c r="O40" s="121">
        <f t="shared" si="17"/>
        <v>0</v>
      </c>
      <c r="P40" s="123">
        <f t="shared" si="18"/>
        <v>0</v>
      </c>
    </row>
    <row r="41" spans="1:17" ht="13.2" x14ac:dyDescent="0.2">
      <c r="A41" s="110">
        <v>4</v>
      </c>
      <c r="B41" s="106" t="s">
        <v>60</v>
      </c>
      <c r="C41" s="100" t="s">
        <v>102</v>
      </c>
      <c r="D41" s="106" t="s">
        <v>73</v>
      </c>
      <c r="E41" s="112">
        <f>E38</f>
        <v>969.22</v>
      </c>
      <c r="F41" s="120"/>
      <c r="G41" s="121"/>
      <c r="H41" s="122">
        <f t="shared" si="6"/>
        <v>0</v>
      </c>
      <c r="I41" s="121"/>
      <c r="J41" s="121"/>
      <c r="K41" s="179">
        <f>ROUND(H41+J41+I41,2)</f>
        <v>0</v>
      </c>
      <c r="L41" s="184">
        <f>ROUND(E41*F41,2)</f>
        <v>0</v>
      </c>
      <c r="M41" s="121">
        <f>ROUND(E41*H41,2)</f>
        <v>0</v>
      </c>
      <c r="N41" s="121">
        <f>ROUND(E41*I41,2)</f>
        <v>0</v>
      </c>
      <c r="O41" s="121">
        <f>ROUND(E41*J41,2)</f>
        <v>0</v>
      </c>
      <c r="P41" s="123">
        <f>ROUND(O41+N41+M41,2)</f>
        <v>0</v>
      </c>
    </row>
    <row r="42" spans="1:17" ht="26.4" x14ac:dyDescent="0.2">
      <c r="A42" s="110">
        <v>5</v>
      </c>
      <c r="B42" s="106"/>
      <c r="C42" s="99" t="s">
        <v>289</v>
      </c>
      <c r="D42" s="106" t="s">
        <v>96</v>
      </c>
      <c r="E42" s="112">
        <f>E41*0.12</f>
        <v>116.3064</v>
      </c>
      <c r="F42" s="120"/>
      <c r="G42" s="121"/>
      <c r="H42" s="122"/>
      <c r="I42" s="121"/>
      <c r="J42" s="121"/>
      <c r="K42" s="179">
        <f t="shared" ref="K42:K59" si="19">ROUND(H42+J42+I42,2)</f>
        <v>0</v>
      </c>
      <c r="L42" s="184">
        <f t="shared" ref="L42:L59" si="20">ROUND(E42*F42,2)</f>
        <v>0</v>
      </c>
      <c r="M42" s="121">
        <f t="shared" ref="M42:M59" si="21">ROUND(E42*H42,2)</f>
        <v>0</v>
      </c>
      <c r="N42" s="121">
        <f t="shared" ref="N42:N59" si="22">ROUND(E42*I42,2)</f>
        <v>0</v>
      </c>
      <c r="O42" s="121">
        <f t="shared" ref="O42:O59" si="23">ROUND(E42*J42,2)</f>
        <v>0</v>
      </c>
      <c r="P42" s="123">
        <f t="shared" ref="P42:P59" si="24">ROUND(O42+N42+M42,2)</f>
        <v>0</v>
      </c>
      <c r="Q42" s="23"/>
    </row>
    <row r="43" spans="1:17" ht="13.2" x14ac:dyDescent="0.2">
      <c r="A43" s="110">
        <v>6</v>
      </c>
      <c r="B43" s="106"/>
      <c r="C43" s="99" t="s">
        <v>114</v>
      </c>
      <c r="D43" s="106" t="s">
        <v>99</v>
      </c>
      <c r="E43" s="152">
        <f>E41*5</f>
        <v>4846.1000000000004</v>
      </c>
      <c r="F43" s="120"/>
      <c r="G43" s="121"/>
      <c r="H43" s="122"/>
      <c r="I43" s="121"/>
      <c r="J43" s="121"/>
      <c r="K43" s="179">
        <f t="shared" si="19"/>
        <v>0</v>
      </c>
      <c r="L43" s="184">
        <f t="shared" si="20"/>
        <v>0</v>
      </c>
      <c r="M43" s="121">
        <f t="shared" si="21"/>
        <v>0</v>
      </c>
      <c r="N43" s="121">
        <f t="shared" si="22"/>
        <v>0</v>
      </c>
      <c r="O43" s="121">
        <f t="shared" si="23"/>
        <v>0</v>
      </c>
      <c r="P43" s="123">
        <f t="shared" si="24"/>
        <v>0</v>
      </c>
      <c r="Q43" s="23"/>
    </row>
    <row r="44" spans="1:17" ht="26.4" x14ac:dyDescent="0.2">
      <c r="A44" s="110">
        <v>7</v>
      </c>
      <c r="B44" s="106"/>
      <c r="C44" s="99" t="s">
        <v>379</v>
      </c>
      <c r="D44" s="106" t="s">
        <v>64</v>
      </c>
      <c r="E44" s="152">
        <f>ROUND(E38*8.16,0)</f>
        <v>7909</v>
      </c>
      <c r="F44" s="120"/>
      <c r="G44" s="121"/>
      <c r="H44" s="122"/>
      <c r="I44" s="121"/>
      <c r="J44" s="121"/>
      <c r="K44" s="179">
        <f t="shared" si="19"/>
        <v>0</v>
      </c>
      <c r="L44" s="184">
        <f t="shared" si="20"/>
        <v>0</v>
      </c>
      <c r="M44" s="121">
        <f t="shared" si="21"/>
        <v>0</v>
      </c>
      <c r="N44" s="121">
        <f t="shared" si="22"/>
        <v>0</v>
      </c>
      <c r="O44" s="121">
        <f t="shared" si="23"/>
        <v>0</v>
      </c>
      <c r="P44" s="123">
        <f t="shared" si="24"/>
        <v>0</v>
      </c>
    </row>
    <row r="45" spans="1:17" ht="13.2" x14ac:dyDescent="0.2">
      <c r="A45" s="110">
        <v>8</v>
      </c>
      <c r="B45" s="106"/>
      <c r="C45" s="99" t="s">
        <v>110</v>
      </c>
      <c r="D45" s="106" t="s">
        <v>64</v>
      </c>
      <c r="E45" s="112">
        <f>E44</f>
        <v>7909</v>
      </c>
      <c r="F45" s="120"/>
      <c r="G45" s="121"/>
      <c r="H45" s="122"/>
      <c r="I45" s="121"/>
      <c r="J45" s="121"/>
      <c r="K45" s="179">
        <f t="shared" si="19"/>
        <v>0</v>
      </c>
      <c r="L45" s="184">
        <f t="shared" si="20"/>
        <v>0</v>
      </c>
      <c r="M45" s="121">
        <f t="shared" si="21"/>
        <v>0</v>
      </c>
      <c r="N45" s="121">
        <f t="shared" si="22"/>
        <v>0</v>
      </c>
      <c r="O45" s="121">
        <f t="shared" si="23"/>
        <v>0</v>
      </c>
      <c r="P45" s="123">
        <f t="shared" si="24"/>
        <v>0</v>
      </c>
    </row>
    <row r="46" spans="1:17" ht="39.6" x14ac:dyDescent="0.2">
      <c r="A46" s="110">
        <v>9</v>
      </c>
      <c r="B46" s="106"/>
      <c r="C46" s="99" t="s">
        <v>286</v>
      </c>
      <c r="D46" s="106" t="s">
        <v>73</v>
      </c>
      <c r="E46" s="112">
        <f>E38*1.05</f>
        <v>1017.681</v>
      </c>
      <c r="F46" s="120"/>
      <c r="G46" s="121"/>
      <c r="H46" s="122"/>
      <c r="I46" s="121"/>
      <c r="J46" s="121"/>
      <c r="K46" s="179">
        <f t="shared" si="19"/>
        <v>0</v>
      </c>
      <c r="L46" s="184">
        <f t="shared" si="20"/>
        <v>0</v>
      </c>
      <c r="M46" s="121">
        <f t="shared" si="21"/>
        <v>0</v>
      </c>
      <c r="N46" s="121">
        <f t="shared" si="22"/>
        <v>0</v>
      </c>
      <c r="O46" s="121">
        <f t="shared" si="23"/>
        <v>0</v>
      </c>
      <c r="P46" s="123">
        <f t="shared" si="24"/>
        <v>0</v>
      </c>
    </row>
    <row r="47" spans="1:17" ht="13.2" x14ac:dyDescent="0.2">
      <c r="A47" s="110">
        <v>10</v>
      </c>
      <c r="B47" s="106"/>
      <c r="C47" s="99" t="s">
        <v>111</v>
      </c>
      <c r="D47" s="106" t="s">
        <v>62</v>
      </c>
      <c r="E47" s="112">
        <f>27.16*1.1</f>
        <v>29.876000000000001</v>
      </c>
      <c r="F47" s="120"/>
      <c r="G47" s="121"/>
      <c r="H47" s="122"/>
      <c r="I47" s="121"/>
      <c r="J47" s="121"/>
      <c r="K47" s="179">
        <f t="shared" si="19"/>
        <v>0</v>
      </c>
      <c r="L47" s="184">
        <f t="shared" si="20"/>
        <v>0</v>
      </c>
      <c r="M47" s="121">
        <f t="shared" si="21"/>
        <v>0</v>
      </c>
      <c r="N47" s="121">
        <f t="shared" si="22"/>
        <v>0</v>
      </c>
      <c r="O47" s="121">
        <f t="shared" si="23"/>
        <v>0</v>
      </c>
      <c r="P47" s="123">
        <f t="shared" si="24"/>
        <v>0</v>
      </c>
    </row>
    <row r="48" spans="1:17" ht="13.2" x14ac:dyDescent="0.2">
      <c r="A48" s="110">
        <v>11</v>
      </c>
      <c r="B48" s="106" t="s">
        <v>60</v>
      </c>
      <c r="C48" s="100" t="s">
        <v>112</v>
      </c>
      <c r="D48" s="106" t="s">
        <v>73</v>
      </c>
      <c r="E48" s="112">
        <f>E41</f>
        <v>969.22</v>
      </c>
      <c r="F48" s="120"/>
      <c r="G48" s="121"/>
      <c r="H48" s="122">
        <f t="shared" si="6"/>
        <v>0</v>
      </c>
      <c r="I48" s="121"/>
      <c r="J48" s="121"/>
      <c r="K48" s="179">
        <f t="shared" si="19"/>
        <v>0</v>
      </c>
      <c r="L48" s="184">
        <f t="shared" si="20"/>
        <v>0</v>
      </c>
      <c r="M48" s="121">
        <f t="shared" si="21"/>
        <v>0</v>
      </c>
      <c r="N48" s="121">
        <f t="shared" si="22"/>
        <v>0</v>
      </c>
      <c r="O48" s="121">
        <f t="shared" si="23"/>
        <v>0</v>
      </c>
      <c r="P48" s="123">
        <f t="shared" si="24"/>
        <v>0</v>
      </c>
    </row>
    <row r="49" spans="1:23" ht="13.2" x14ac:dyDescent="0.2">
      <c r="A49" s="110">
        <v>12</v>
      </c>
      <c r="B49" s="106"/>
      <c r="C49" s="99" t="s">
        <v>113</v>
      </c>
      <c r="D49" s="106" t="s">
        <v>96</v>
      </c>
      <c r="E49" s="112">
        <f>E48*0.12</f>
        <v>116.3064</v>
      </c>
      <c r="F49" s="120"/>
      <c r="G49" s="121"/>
      <c r="H49" s="122"/>
      <c r="I49" s="121"/>
      <c r="J49" s="121"/>
      <c r="K49" s="179">
        <f t="shared" si="19"/>
        <v>0</v>
      </c>
      <c r="L49" s="184">
        <f t="shared" si="20"/>
        <v>0</v>
      </c>
      <c r="M49" s="121">
        <f t="shared" si="21"/>
        <v>0</v>
      </c>
      <c r="N49" s="121">
        <f t="shared" si="22"/>
        <v>0</v>
      </c>
      <c r="O49" s="121">
        <f t="shared" si="23"/>
        <v>0</v>
      </c>
      <c r="P49" s="123">
        <f t="shared" si="24"/>
        <v>0</v>
      </c>
    </row>
    <row r="50" spans="1:23" ht="13.2" x14ac:dyDescent="0.2">
      <c r="A50" s="110">
        <v>13</v>
      </c>
      <c r="B50" s="106"/>
      <c r="C50" s="99" t="s">
        <v>290</v>
      </c>
      <c r="D50" s="106" t="s">
        <v>99</v>
      </c>
      <c r="E50" s="152">
        <f>E48*4.5</f>
        <v>4361.49</v>
      </c>
      <c r="F50" s="120"/>
      <c r="G50" s="121"/>
      <c r="H50" s="122"/>
      <c r="I50" s="121"/>
      <c r="J50" s="121"/>
      <c r="K50" s="179">
        <f t="shared" si="19"/>
        <v>0</v>
      </c>
      <c r="L50" s="184">
        <f t="shared" si="20"/>
        <v>0</v>
      </c>
      <c r="M50" s="121">
        <f t="shared" si="21"/>
        <v>0</v>
      </c>
      <c r="N50" s="121">
        <f t="shared" si="22"/>
        <v>0</v>
      </c>
      <c r="O50" s="121">
        <f t="shared" si="23"/>
        <v>0</v>
      </c>
      <c r="P50" s="123">
        <f t="shared" si="24"/>
        <v>0</v>
      </c>
    </row>
    <row r="51" spans="1:23" ht="13.2" x14ac:dyDescent="0.2">
      <c r="A51" s="110">
        <v>14</v>
      </c>
      <c r="B51" s="106"/>
      <c r="C51" s="99" t="s">
        <v>101</v>
      </c>
      <c r="D51" s="106" t="s">
        <v>73</v>
      </c>
      <c r="E51" s="112">
        <f>E48*1.2</f>
        <v>1163.0640000000001</v>
      </c>
      <c r="F51" s="120"/>
      <c r="G51" s="121"/>
      <c r="H51" s="122"/>
      <c r="I51" s="121"/>
      <c r="J51" s="121"/>
      <c r="K51" s="179">
        <f t="shared" si="19"/>
        <v>0</v>
      </c>
      <c r="L51" s="184">
        <f t="shared" si="20"/>
        <v>0</v>
      </c>
      <c r="M51" s="121">
        <f t="shared" si="21"/>
        <v>0</v>
      </c>
      <c r="N51" s="121">
        <f t="shared" si="22"/>
        <v>0</v>
      </c>
      <c r="O51" s="121">
        <f t="shared" si="23"/>
        <v>0</v>
      </c>
      <c r="P51" s="123">
        <f t="shared" si="24"/>
        <v>0</v>
      </c>
    </row>
    <row r="52" spans="1:23" ht="13.2" x14ac:dyDescent="0.2">
      <c r="A52" s="110">
        <v>15</v>
      </c>
      <c r="B52" s="106"/>
      <c r="C52" s="99" t="s">
        <v>234</v>
      </c>
      <c r="D52" s="106" t="s">
        <v>62</v>
      </c>
      <c r="E52" s="112">
        <f>81.82*1.1+10.5*1.1</f>
        <v>101.55199999999999</v>
      </c>
      <c r="F52" s="120"/>
      <c r="G52" s="121"/>
      <c r="H52" s="122"/>
      <c r="I52" s="121"/>
      <c r="J52" s="121"/>
      <c r="K52" s="179">
        <f t="shared" si="19"/>
        <v>0</v>
      </c>
      <c r="L52" s="184">
        <f t="shared" si="20"/>
        <v>0</v>
      </c>
      <c r="M52" s="121">
        <f t="shared" si="21"/>
        <v>0</v>
      </c>
      <c r="N52" s="121">
        <f t="shared" si="22"/>
        <v>0</v>
      </c>
      <c r="O52" s="121">
        <f t="shared" si="23"/>
        <v>0</v>
      </c>
      <c r="P52" s="123">
        <f t="shared" si="24"/>
        <v>0</v>
      </c>
    </row>
    <row r="53" spans="1:23" ht="13.2" x14ac:dyDescent="0.2">
      <c r="A53" s="110">
        <v>16</v>
      </c>
      <c r="B53" s="106" t="s">
        <v>60</v>
      </c>
      <c r="C53" s="100" t="s">
        <v>116</v>
      </c>
      <c r="D53" s="106" t="s">
        <v>73</v>
      </c>
      <c r="E53" s="112">
        <f>3.7+2.9+1.21+1.49*(0.36*3.23)</f>
        <v>9.5425719999999998</v>
      </c>
      <c r="F53" s="120"/>
      <c r="G53" s="121"/>
      <c r="H53" s="122">
        <f t="shared" ref="H53" si="25">ROUND(F53*G53,2)</f>
        <v>0</v>
      </c>
      <c r="I53" s="121"/>
      <c r="J53" s="121"/>
      <c r="K53" s="179">
        <f t="shared" si="19"/>
        <v>0</v>
      </c>
      <c r="L53" s="184">
        <f t="shared" si="20"/>
        <v>0</v>
      </c>
      <c r="M53" s="121">
        <f t="shared" si="21"/>
        <v>0</v>
      </c>
      <c r="N53" s="121">
        <f t="shared" si="22"/>
        <v>0</v>
      </c>
      <c r="O53" s="121">
        <f t="shared" si="23"/>
        <v>0</v>
      </c>
      <c r="P53" s="123">
        <f t="shared" si="24"/>
        <v>0</v>
      </c>
    </row>
    <row r="54" spans="1:23" ht="13.2" x14ac:dyDescent="0.2">
      <c r="A54" s="110">
        <v>17</v>
      </c>
      <c r="B54" s="106"/>
      <c r="C54" s="99" t="s">
        <v>118</v>
      </c>
      <c r="D54" s="106" t="s">
        <v>96</v>
      </c>
      <c r="E54" s="112">
        <f>E53*0.12</f>
        <v>1.1451086399999999</v>
      </c>
      <c r="F54" s="120"/>
      <c r="G54" s="121"/>
      <c r="H54" s="122"/>
      <c r="I54" s="121"/>
      <c r="J54" s="121"/>
      <c r="K54" s="179">
        <f t="shared" si="19"/>
        <v>0</v>
      </c>
      <c r="L54" s="184">
        <f t="shared" si="20"/>
        <v>0</v>
      </c>
      <c r="M54" s="121">
        <f t="shared" si="21"/>
        <v>0</v>
      </c>
      <c r="N54" s="121">
        <f t="shared" si="22"/>
        <v>0</v>
      </c>
      <c r="O54" s="121">
        <f t="shared" si="23"/>
        <v>0</v>
      </c>
      <c r="P54" s="123">
        <f t="shared" si="24"/>
        <v>0</v>
      </c>
    </row>
    <row r="55" spans="1:23" ht="13.2" x14ac:dyDescent="0.2">
      <c r="A55" s="110">
        <v>18</v>
      </c>
      <c r="B55" s="106"/>
      <c r="C55" s="99" t="s">
        <v>290</v>
      </c>
      <c r="D55" s="106" t="s">
        <v>99</v>
      </c>
      <c r="E55" s="112">
        <f>E53*4.5*1.5</f>
        <v>64.412361000000004</v>
      </c>
      <c r="F55" s="120"/>
      <c r="G55" s="121"/>
      <c r="H55" s="122"/>
      <c r="I55" s="121"/>
      <c r="J55" s="121"/>
      <c r="K55" s="179">
        <f t="shared" si="19"/>
        <v>0</v>
      </c>
      <c r="L55" s="184">
        <f t="shared" si="20"/>
        <v>0</v>
      </c>
      <c r="M55" s="121">
        <f t="shared" si="21"/>
        <v>0</v>
      </c>
      <c r="N55" s="121">
        <f t="shared" si="22"/>
        <v>0</v>
      </c>
      <c r="O55" s="121">
        <f t="shared" si="23"/>
        <v>0</v>
      </c>
      <c r="P55" s="123">
        <f t="shared" si="24"/>
        <v>0</v>
      </c>
    </row>
    <row r="56" spans="1:23" ht="13.2" x14ac:dyDescent="0.2">
      <c r="A56" s="110">
        <v>19</v>
      </c>
      <c r="B56" s="106"/>
      <c r="C56" s="99" t="s">
        <v>101</v>
      </c>
      <c r="D56" s="106" t="s">
        <v>73</v>
      </c>
      <c r="E56" s="112">
        <f>E53*1.2*2</f>
        <v>22.902172799999999</v>
      </c>
      <c r="F56" s="120"/>
      <c r="G56" s="121"/>
      <c r="H56" s="122"/>
      <c r="I56" s="121"/>
      <c r="J56" s="121"/>
      <c r="K56" s="179">
        <f t="shared" si="19"/>
        <v>0</v>
      </c>
      <c r="L56" s="184">
        <f t="shared" si="20"/>
        <v>0</v>
      </c>
      <c r="M56" s="121">
        <f t="shared" si="21"/>
        <v>0</v>
      </c>
      <c r="N56" s="121">
        <f t="shared" si="22"/>
        <v>0</v>
      </c>
      <c r="O56" s="121">
        <f t="shared" si="23"/>
        <v>0</v>
      </c>
      <c r="P56" s="123">
        <f t="shared" si="24"/>
        <v>0</v>
      </c>
      <c r="Q56" s="158"/>
      <c r="R56" s="159"/>
      <c r="S56" s="159"/>
      <c r="T56" s="159"/>
      <c r="U56" s="159"/>
      <c r="V56" s="159"/>
      <c r="W56" s="159"/>
    </row>
    <row r="57" spans="1:23" ht="13.2" x14ac:dyDescent="0.2">
      <c r="A57" s="110">
        <v>20</v>
      </c>
      <c r="B57" s="106" t="s">
        <v>60</v>
      </c>
      <c r="C57" s="100" t="s">
        <v>117</v>
      </c>
      <c r="D57" s="106" t="s">
        <v>73</v>
      </c>
      <c r="E57" s="112">
        <f>E48</f>
        <v>969.22</v>
      </c>
      <c r="F57" s="120"/>
      <c r="G57" s="121"/>
      <c r="H57" s="122">
        <f t="shared" ref="H57:H99" si="26">ROUND(F57*G57,2)</f>
        <v>0</v>
      </c>
      <c r="I57" s="121"/>
      <c r="J57" s="121"/>
      <c r="K57" s="179">
        <f t="shared" si="19"/>
        <v>0</v>
      </c>
      <c r="L57" s="184">
        <f t="shared" si="20"/>
        <v>0</v>
      </c>
      <c r="M57" s="121">
        <f t="shared" si="21"/>
        <v>0</v>
      </c>
      <c r="N57" s="121">
        <f t="shared" si="22"/>
        <v>0</v>
      </c>
      <c r="O57" s="121">
        <f t="shared" si="23"/>
        <v>0</v>
      </c>
      <c r="P57" s="123">
        <f t="shared" si="24"/>
        <v>0</v>
      </c>
      <c r="Q57" s="158"/>
      <c r="R57" s="159"/>
      <c r="S57" s="159"/>
      <c r="T57" s="159"/>
      <c r="U57" s="159"/>
      <c r="V57" s="159"/>
      <c r="W57" s="159"/>
    </row>
    <row r="58" spans="1:23" ht="26.4" x14ac:dyDescent="0.2">
      <c r="A58" s="110">
        <v>21</v>
      </c>
      <c r="B58" s="106"/>
      <c r="C58" s="99" t="s">
        <v>291</v>
      </c>
      <c r="D58" s="106" t="s">
        <v>96</v>
      </c>
      <c r="E58" s="112">
        <f>E57*0.12</f>
        <v>116.3064</v>
      </c>
      <c r="F58" s="120"/>
      <c r="G58" s="121"/>
      <c r="H58" s="122"/>
      <c r="I58" s="121"/>
      <c r="J58" s="121"/>
      <c r="K58" s="179">
        <f t="shared" si="19"/>
        <v>0</v>
      </c>
      <c r="L58" s="184">
        <f t="shared" si="20"/>
        <v>0</v>
      </c>
      <c r="M58" s="121">
        <f t="shared" si="21"/>
        <v>0</v>
      </c>
      <c r="N58" s="121">
        <f t="shared" si="22"/>
        <v>0</v>
      </c>
      <c r="O58" s="121">
        <f t="shared" si="23"/>
        <v>0</v>
      </c>
      <c r="P58" s="123">
        <f t="shared" si="24"/>
        <v>0</v>
      </c>
      <c r="Q58" s="158"/>
      <c r="R58" s="159"/>
      <c r="S58" s="159"/>
      <c r="T58" s="159"/>
      <c r="U58" s="159"/>
      <c r="V58" s="159"/>
      <c r="W58" s="159"/>
    </row>
    <row r="59" spans="1:23" ht="26.4" x14ac:dyDescent="0.2">
      <c r="A59" s="110">
        <v>22</v>
      </c>
      <c r="B59" s="106"/>
      <c r="C59" s="99" t="s">
        <v>405</v>
      </c>
      <c r="D59" s="106" t="s">
        <v>99</v>
      </c>
      <c r="E59" s="112">
        <f>E57*4</f>
        <v>3876.88</v>
      </c>
      <c r="F59" s="120"/>
      <c r="G59" s="121"/>
      <c r="H59" s="122"/>
      <c r="I59" s="121"/>
      <c r="J59" s="121"/>
      <c r="K59" s="179">
        <f t="shared" si="19"/>
        <v>0</v>
      </c>
      <c r="L59" s="184">
        <f t="shared" si="20"/>
        <v>0</v>
      </c>
      <c r="M59" s="121">
        <f t="shared" si="21"/>
        <v>0</v>
      </c>
      <c r="N59" s="121">
        <f t="shared" si="22"/>
        <v>0</v>
      </c>
      <c r="O59" s="121">
        <f t="shared" si="23"/>
        <v>0</v>
      </c>
      <c r="P59" s="123">
        <f t="shared" si="24"/>
        <v>0</v>
      </c>
      <c r="Q59" s="158"/>
      <c r="R59" s="159"/>
      <c r="S59" s="159"/>
      <c r="T59" s="159"/>
      <c r="U59" s="159"/>
      <c r="V59" s="159"/>
      <c r="W59" s="159"/>
    </row>
    <row r="60" spans="1:23" ht="13.2" x14ac:dyDescent="0.2">
      <c r="A60" s="140"/>
      <c r="B60" s="107"/>
      <c r="C60" s="141" t="s">
        <v>236</v>
      </c>
      <c r="D60" s="142"/>
      <c r="E60" s="143"/>
      <c r="F60" s="144"/>
      <c r="G60" s="145"/>
      <c r="H60" s="122"/>
      <c r="I60" s="145"/>
      <c r="J60" s="145"/>
      <c r="K60" s="188"/>
      <c r="L60" s="189"/>
      <c r="M60" s="145"/>
      <c r="N60" s="145"/>
      <c r="O60" s="145"/>
      <c r="P60" s="153"/>
    </row>
    <row r="61" spans="1:23" ht="26.4" x14ac:dyDescent="0.2">
      <c r="A61" s="110">
        <v>1</v>
      </c>
      <c r="B61" s="106" t="s">
        <v>60</v>
      </c>
      <c r="C61" s="100" t="s">
        <v>107</v>
      </c>
      <c r="D61" s="106" t="s">
        <v>73</v>
      </c>
      <c r="E61" s="151">
        <v>458.37</v>
      </c>
      <c r="F61" s="120"/>
      <c r="G61" s="121"/>
      <c r="H61" s="122">
        <f>ROUND(F61*G61,2)</f>
        <v>0</v>
      </c>
      <c r="I61" s="121"/>
      <c r="J61" s="121"/>
      <c r="K61" s="179">
        <f>ROUND(H61+J61+I61,2)</f>
        <v>0</v>
      </c>
      <c r="L61" s="184">
        <f>ROUND(E61*F61,2)</f>
        <v>0</v>
      </c>
      <c r="M61" s="121">
        <f>ROUND(E61*H61,2)</f>
        <v>0</v>
      </c>
      <c r="N61" s="121">
        <f>ROUND(E61*I61,2)</f>
        <v>0</v>
      </c>
      <c r="O61" s="121">
        <f>ROUND(E61*J61,2)</f>
        <v>0</v>
      </c>
      <c r="P61" s="123">
        <f>ROUND(O61+N61+M61,2)</f>
        <v>0</v>
      </c>
    </row>
    <row r="62" spans="1:23" ht="13.2" x14ac:dyDescent="0.2">
      <c r="A62" s="110">
        <v>2</v>
      </c>
      <c r="B62" s="106"/>
      <c r="C62" s="99" t="s">
        <v>98</v>
      </c>
      <c r="D62" s="106" t="s">
        <v>96</v>
      </c>
      <c r="E62" s="112">
        <f>E61*0.12</f>
        <v>55.004399999999997</v>
      </c>
      <c r="F62" s="120"/>
      <c r="G62" s="121"/>
      <c r="H62" s="122"/>
      <c r="I62" s="121"/>
      <c r="J62" s="121"/>
      <c r="K62" s="179">
        <f t="shared" ref="K62:K63" si="27">ROUND(H62+J62+I62,2)</f>
        <v>0</v>
      </c>
      <c r="L62" s="184">
        <f t="shared" ref="L62:L63" si="28">ROUND(E62*F62,2)</f>
        <v>0</v>
      </c>
      <c r="M62" s="121">
        <f t="shared" ref="M62:M63" si="29">ROUND(E62*H62,2)</f>
        <v>0</v>
      </c>
      <c r="N62" s="121">
        <f t="shared" ref="N62:N63" si="30">ROUND(E62*I62,2)</f>
        <v>0</v>
      </c>
      <c r="O62" s="121">
        <f t="shared" ref="O62:O63" si="31">ROUND(E62*J62,2)</f>
        <v>0</v>
      </c>
      <c r="P62" s="123">
        <f t="shared" ref="P62:P63" si="32">ROUND(O62+N62+M62,2)</f>
        <v>0</v>
      </c>
    </row>
    <row r="63" spans="1:23" ht="26.4" x14ac:dyDescent="0.2">
      <c r="A63" s="110">
        <v>3</v>
      </c>
      <c r="B63" s="106"/>
      <c r="C63" s="99" t="s">
        <v>108</v>
      </c>
      <c r="D63" s="106" t="s">
        <v>109</v>
      </c>
      <c r="E63" s="152">
        <f>E61*5</f>
        <v>2291.85</v>
      </c>
      <c r="F63" s="120"/>
      <c r="G63" s="121"/>
      <c r="H63" s="122"/>
      <c r="I63" s="121"/>
      <c r="J63" s="121"/>
      <c r="K63" s="179">
        <f t="shared" si="27"/>
        <v>0</v>
      </c>
      <c r="L63" s="184">
        <f t="shared" si="28"/>
        <v>0</v>
      </c>
      <c r="M63" s="121">
        <f t="shared" si="29"/>
        <v>0</v>
      </c>
      <c r="N63" s="121">
        <f t="shared" si="30"/>
        <v>0</v>
      </c>
      <c r="O63" s="121">
        <f t="shared" si="31"/>
        <v>0</v>
      </c>
      <c r="P63" s="123">
        <f t="shared" si="32"/>
        <v>0</v>
      </c>
    </row>
    <row r="64" spans="1:23" ht="13.2" x14ac:dyDescent="0.2">
      <c r="A64" s="110">
        <v>4</v>
      </c>
      <c r="B64" s="106" t="s">
        <v>60</v>
      </c>
      <c r="C64" s="100" t="s">
        <v>102</v>
      </c>
      <c r="D64" s="106" t="s">
        <v>73</v>
      </c>
      <c r="E64" s="112">
        <f>E61</f>
        <v>458.37</v>
      </c>
      <c r="F64" s="120"/>
      <c r="G64" s="121"/>
      <c r="H64" s="122">
        <f>ROUND(F64*G64,2)</f>
        <v>0</v>
      </c>
      <c r="I64" s="121"/>
      <c r="J64" s="121"/>
      <c r="K64" s="179">
        <f>ROUND(H64+J64+I64,2)</f>
        <v>0</v>
      </c>
      <c r="L64" s="184">
        <f>ROUND(E64*F64,2)</f>
        <v>0</v>
      </c>
      <c r="M64" s="121">
        <f>ROUND(E64*H64,2)</f>
        <v>0</v>
      </c>
      <c r="N64" s="121">
        <f>ROUND(E64*I64,2)</f>
        <v>0</v>
      </c>
      <c r="O64" s="121">
        <f>ROUND(E64*J64,2)</f>
        <v>0</v>
      </c>
      <c r="P64" s="123">
        <f>ROUND(O64+N64+M64,2)</f>
        <v>0</v>
      </c>
    </row>
    <row r="65" spans="1:16" ht="26.4" x14ac:dyDescent="0.2">
      <c r="A65" s="110">
        <v>5</v>
      </c>
      <c r="B65" s="106"/>
      <c r="C65" s="99" t="s">
        <v>289</v>
      </c>
      <c r="D65" s="106" t="s">
        <v>96</v>
      </c>
      <c r="E65" s="112">
        <f>E64*0.12</f>
        <v>55.004399999999997</v>
      </c>
      <c r="F65" s="120"/>
      <c r="G65" s="121"/>
      <c r="H65" s="122"/>
      <c r="I65" s="121"/>
      <c r="J65" s="121"/>
      <c r="K65" s="179">
        <f t="shared" ref="K65:K82" si="33">ROUND(H65+J65+I65,2)</f>
        <v>0</v>
      </c>
      <c r="L65" s="184">
        <f t="shared" ref="L65:L82" si="34">ROUND(E65*F65,2)</f>
        <v>0</v>
      </c>
      <c r="M65" s="121">
        <f t="shared" ref="M65:M82" si="35">ROUND(E65*H65,2)</f>
        <v>0</v>
      </c>
      <c r="N65" s="121">
        <f t="shared" ref="N65:N82" si="36">ROUND(E65*I65,2)</f>
        <v>0</v>
      </c>
      <c r="O65" s="121">
        <f t="shared" ref="O65:O82" si="37">ROUND(E65*J65,2)</f>
        <v>0</v>
      </c>
      <c r="P65" s="123">
        <f t="shared" ref="P65:P82" si="38">ROUND(O65+N65+M65,2)</f>
        <v>0</v>
      </c>
    </row>
    <row r="66" spans="1:16" ht="13.2" x14ac:dyDescent="0.2">
      <c r="A66" s="110">
        <v>6</v>
      </c>
      <c r="B66" s="106"/>
      <c r="C66" s="99" t="s">
        <v>114</v>
      </c>
      <c r="D66" s="106" t="s">
        <v>99</v>
      </c>
      <c r="E66" s="152">
        <f>E64*5</f>
        <v>2291.85</v>
      </c>
      <c r="F66" s="120"/>
      <c r="G66" s="121"/>
      <c r="H66" s="122"/>
      <c r="I66" s="121"/>
      <c r="J66" s="121"/>
      <c r="K66" s="179">
        <f t="shared" si="33"/>
        <v>0</v>
      </c>
      <c r="L66" s="184">
        <f t="shared" si="34"/>
        <v>0</v>
      </c>
      <c r="M66" s="121">
        <f t="shared" si="35"/>
        <v>0</v>
      </c>
      <c r="N66" s="121">
        <f t="shared" si="36"/>
        <v>0</v>
      </c>
      <c r="O66" s="121">
        <f t="shared" si="37"/>
        <v>0</v>
      </c>
      <c r="P66" s="123">
        <f t="shared" si="38"/>
        <v>0</v>
      </c>
    </row>
    <row r="67" spans="1:16" ht="26.4" x14ac:dyDescent="0.2">
      <c r="A67" s="110">
        <v>7</v>
      </c>
      <c r="B67" s="106"/>
      <c r="C67" s="99" t="s">
        <v>379</v>
      </c>
      <c r="D67" s="106" t="s">
        <v>64</v>
      </c>
      <c r="E67" s="152">
        <f>ROUND(E61*8.15,0)</f>
        <v>3736</v>
      </c>
      <c r="F67" s="120"/>
      <c r="G67" s="121"/>
      <c r="H67" s="122"/>
      <c r="I67" s="121"/>
      <c r="J67" s="121"/>
      <c r="K67" s="179">
        <f t="shared" si="33"/>
        <v>0</v>
      </c>
      <c r="L67" s="184">
        <f t="shared" si="34"/>
        <v>0</v>
      </c>
      <c r="M67" s="121">
        <f t="shared" si="35"/>
        <v>0</v>
      </c>
      <c r="N67" s="121">
        <f t="shared" si="36"/>
        <v>0</v>
      </c>
      <c r="O67" s="121">
        <f t="shared" si="37"/>
        <v>0</v>
      </c>
      <c r="P67" s="123">
        <f t="shared" si="38"/>
        <v>0</v>
      </c>
    </row>
    <row r="68" spans="1:16" ht="13.2" x14ac:dyDescent="0.2">
      <c r="A68" s="110">
        <v>8</v>
      </c>
      <c r="B68" s="106"/>
      <c r="C68" s="99" t="s">
        <v>110</v>
      </c>
      <c r="D68" s="106" t="s">
        <v>64</v>
      </c>
      <c r="E68" s="112">
        <v>6129</v>
      </c>
      <c r="F68" s="120"/>
      <c r="G68" s="121"/>
      <c r="H68" s="122"/>
      <c r="I68" s="121"/>
      <c r="J68" s="121"/>
      <c r="K68" s="179">
        <f t="shared" si="33"/>
        <v>0</v>
      </c>
      <c r="L68" s="184">
        <f t="shared" si="34"/>
        <v>0</v>
      </c>
      <c r="M68" s="121">
        <f t="shared" si="35"/>
        <v>0</v>
      </c>
      <c r="N68" s="121">
        <f t="shared" si="36"/>
        <v>0</v>
      </c>
      <c r="O68" s="121">
        <f t="shared" si="37"/>
        <v>0</v>
      </c>
      <c r="P68" s="123">
        <f t="shared" si="38"/>
        <v>0</v>
      </c>
    </row>
    <row r="69" spans="1:16" ht="39.6" x14ac:dyDescent="0.2">
      <c r="A69" s="110">
        <v>9</v>
      </c>
      <c r="B69" s="106"/>
      <c r="C69" s="99" t="s">
        <v>286</v>
      </c>
      <c r="D69" s="106" t="s">
        <v>73</v>
      </c>
      <c r="E69" s="112">
        <f>E61*1.05</f>
        <v>481.2885</v>
      </c>
      <c r="F69" s="120"/>
      <c r="G69" s="121"/>
      <c r="H69" s="122"/>
      <c r="I69" s="121"/>
      <c r="J69" s="121"/>
      <c r="K69" s="179">
        <f t="shared" si="33"/>
        <v>0</v>
      </c>
      <c r="L69" s="184">
        <f t="shared" si="34"/>
        <v>0</v>
      </c>
      <c r="M69" s="121">
        <f t="shared" si="35"/>
        <v>0</v>
      </c>
      <c r="N69" s="121">
        <f t="shared" si="36"/>
        <v>0</v>
      </c>
      <c r="O69" s="121">
        <f t="shared" si="37"/>
        <v>0</v>
      </c>
      <c r="P69" s="123">
        <f t="shared" si="38"/>
        <v>0</v>
      </c>
    </row>
    <row r="70" spans="1:16" ht="13.2" x14ac:dyDescent="0.2">
      <c r="A70" s="110">
        <v>10</v>
      </c>
      <c r="B70" s="106"/>
      <c r="C70" s="99" t="s">
        <v>111</v>
      </c>
      <c r="D70" s="106" t="s">
        <v>62</v>
      </c>
      <c r="E70" s="112">
        <f>1.7*1.1</f>
        <v>1.87</v>
      </c>
      <c r="F70" s="120"/>
      <c r="G70" s="121"/>
      <c r="H70" s="122"/>
      <c r="I70" s="121"/>
      <c r="J70" s="121"/>
      <c r="K70" s="179">
        <f t="shared" si="33"/>
        <v>0</v>
      </c>
      <c r="L70" s="184">
        <f t="shared" si="34"/>
        <v>0</v>
      </c>
      <c r="M70" s="121">
        <f t="shared" si="35"/>
        <v>0</v>
      </c>
      <c r="N70" s="121">
        <f t="shared" si="36"/>
        <v>0</v>
      </c>
      <c r="O70" s="121">
        <f t="shared" si="37"/>
        <v>0</v>
      </c>
      <c r="P70" s="123">
        <f t="shared" si="38"/>
        <v>0</v>
      </c>
    </row>
    <row r="71" spans="1:16" ht="13.2" x14ac:dyDescent="0.2">
      <c r="A71" s="110">
        <v>11</v>
      </c>
      <c r="B71" s="106" t="s">
        <v>60</v>
      </c>
      <c r="C71" s="100" t="s">
        <v>112</v>
      </c>
      <c r="D71" s="106" t="s">
        <v>73</v>
      </c>
      <c r="E71" s="112">
        <f>E64</f>
        <v>458.37</v>
      </c>
      <c r="F71" s="120"/>
      <c r="G71" s="121"/>
      <c r="H71" s="122">
        <f>ROUND(F71*G71,2)</f>
        <v>0</v>
      </c>
      <c r="I71" s="121"/>
      <c r="J71" s="121"/>
      <c r="K71" s="179">
        <f t="shared" si="33"/>
        <v>0</v>
      </c>
      <c r="L71" s="184">
        <f t="shared" si="34"/>
        <v>0</v>
      </c>
      <c r="M71" s="121">
        <f t="shared" si="35"/>
        <v>0</v>
      </c>
      <c r="N71" s="121">
        <f t="shared" si="36"/>
        <v>0</v>
      </c>
      <c r="O71" s="121">
        <f t="shared" si="37"/>
        <v>0</v>
      </c>
      <c r="P71" s="123">
        <f t="shared" si="38"/>
        <v>0</v>
      </c>
    </row>
    <row r="72" spans="1:16" ht="13.2" x14ac:dyDescent="0.2">
      <c r="A72" s="110">
        <v>12</v>
      </c>
      <c r="B72" s="106"/>
      <c r="C72" s="99" t="s">
        <v>113</v>
      </c>
      <c r="D72" s="106" t="s">
        <v>96</v>
      </c>
      <c r="E72" s="112">
        <f>E71*0.12</f>
        <v>55.004399999999997</v>
      </c>
      <c r="F72" s="120"/>
      <c r="G72" s="121"/>
      <c r="H72" s="122"/>
      <c r="I72" s="121"/>
      <c r="J72" s="121"/>
      <c r="K72" s="179">
        <f t="shared" si="33"/>
        <v>0</v>
      </c>
      <c r="L72" s="184">
        <f t="shared" si="34"/>
        <v>0</v>
      </c>
      <c r="M72" s="121">
        <f t="shared" si="35"/>
        <v>0</v>
      </c>
      <c r="N72" s="121">
        <f t="shared" si="36"/>
        <v>0</v>
      </c>
      <c r="O72" s="121">
        <f t="shared" si="37"/>
        <v>0</v>
      </c>
      <c r="P72" s="123">
        <f t="shared" si="38"/>
        <v>0</v>
      </c>
    </row>
    <row r="73" spans="1:16" ht="13.2" x14ac:dyDescent="0.2">
      <c r="A73" s="110">
        <v>13</v>
      </c>
      <c r="B73" s="106"/>
      <c r="C73" s="99" t="s">
        <v>290</v>
      </c>
      <c r="D73" s="106" t="s">
        <v>99</v>
      </c>
      <c r="E73" s="152">
        <f>E71*4.5</f>
        <v>2062.665</v>
      </c>
      <c r="F73" s="120"/>
      <c r="G73" s="121"/>
      <c r="H73" s="122"/>
      <c r="I73" s="121"/>
      <c r="J73" s="121"/>
      <c r="K73" s="179">
        <f t="shared" si="33"/>
        <v>0</v>
      </c>
      <c r="L73" s="184">
        <f t="shared" si="34"/>
        <v>0</v>
      </c>
      <c r="M73" s="121">
        <f t="shared" si="35"/>
        <v>0</v>
      </c>
      <c r="N73" s="121">
        <f t="shared" si="36"/>
        <v>0</v>
      </c>
      <c r="O73" s="121">
        <f t="shared" si="37"/>
        <v>0</v>
      </c>
      <c r="P73" s="123">
        <f t="shared" si="38"/>
        <v>0</v>
      </c>
    </row>
    <row r="74" spans="1:16" ht="13.2" x14ac:dyDescent="0.2">
      <c r="A74" s="110">
        <v>14</v>
      </c>
      <c r="B74" s="106"/>
      <c r="C74" s="99" t="s">
        <v>101</v>
      </c>
      <c r="D74" s="106" t="s">
        <v>73</v>
      </c>
      <c r="E74" s="112">
        <f>E71*1.2</f>
        <v>550.04399999999998</v>
      </c>
      <c r="F74" s="120"/>
      <c r="G74" s="121"/>
      <c r="H74" s="122"/>
      <c r="I74" s="121"/>
      <c r="J74" s="121"/>
      <c r="K74" s="179">
        <f t="shared" si="33"/>
        <v>0</v>
      </c>
      <c r="L74" s="184">
        <f t="shared" si="34"/>
        <v>0</v>
      </c>
      <c r="M74" s="121">
        <f t="shared" si="35"/>
        <v>0</v>
      </c>
      <c r="N74" s="121">
        <f t="shared" si="36"/>
        <v>0</v>
      </c>
      <c r="O74" s="121">
        <f t="shared" si="37"/>
        <v>0</v>
      </c>
      <c r="P74" s="123">
        <f t="shared" si="38"/>
        <v>0</v>
      </c>
    </row>
    <row r="75" spans="1:16" ht="13.2" x14ac:dyDescent="0.2">
      <c r="A75" s="110">
        <v>15</v>
      </c>
      <c r="B75" s="106"/>
      <c r="C75" s="99" t="s">
        <v>234</v>
      </c>
      <c r="D75" s="106" t="s">
        <v>62</v>
      </c>
      <c r="E75" s="112">
        <f>73.1*1.1+33.15*1.1</f>
        <v>116.875</v>
      </c>
      <c r="F75" s="120"/>
      <c r="G75" s="121"/>
      <c r="H75" s="122"/>
      <c r="I75" s="121"/>
      <c r="J75" s="121"/>
      <c r="K75" s="179">
        <f t="shared" si="33"/>
        <v>0</v>
      </c>
      <c r="L75" s="184">
        <f t="shared" si="34"/>
        <v>0</v>
      </c>
      <c r="M75" s="121">
        <f t="shared" si="35"/>
        <v>0</v>
      </c>
      <c r="N75" s="121">
        <f t="shared" si="36"/>
        <v>0</v>
      </c>
      <c r="O75" s="121">
        <f t="shared" si="37"/>
        <v>0</v>
      </c>
      <c r="P75" s="123">
        <f t="shared" si="38"/>
        <v>0</v>
      </c>
    </row>
    <row r="76" spans="1:16" ht="13.2" x14ac:dyDescent="0.2">
      <c r="A76" s="110">
        <v>16</v>
      </c>
      <c r="B76" s="106" t="s">
        <v>60</v>
      </c>
      <c r="C76" s="100" t="s">
        <v>116</v>
      </c>
      <c r="D76" s="106" t="s">
        <v>73</v>
      </c>
      <c r="E76" s="112">
        <v>18.82</v>
      </c>
      <c r="F76" s="120"/>
      <c r="G76" s="121"/>
      <c r="H76" s="122">
        <f>ROUND(F76*G76,2)</f>
        <v>0</v>
      </c>
      <c r="I76" s="121"/>
      <c r="J76" s="121"/>
      <c r="K76" s="179">
        <f t="shared" si="33"/>
        <v>0</v>
      </c>
      <c r="L76" s="184">
        <f t="shared" si="34"/>
        <v>0</v>
      </c>
      <c r="M76" s="121">
        <f t="shared" si="35"/>
        <v>0</v>
      </c>
      <c r="N76" s="121">
        <f t="shared" si="36"/>
        <v>0</v>
      </c>
      <c r="O76" s="121">
        <f t="shared" si="37"/>
        <v>0</v>
      </c>
      <c r="P76" s="123">
        <f t="shared" si="38"/>
        <v>0</v>
      </c>
    </row>
    <row r="77" spans="1:16" ht="13.2" x14ac:dyDescent="0.2">
      <c r="A77" s="110">
        <v>17</v>
      </c>
      <c r="B77" s="106"/>
      <c r="C77" s="99" t="s">
        <v>118</v>
      </c>
      <c r="D77" s="106" t="s">
        <v>96</v>
      </c>
      <c r="E77" s="112">
        <f>E76*0.12</f>
        <v>2.2584</v>
      </c>
      <c r="F77" s="120"/>
      <c r="G77" s="121"/>
      <c r="H77" s="122"/>
      <c r="I77" s="121"/>
      <c r="J77" s="121"/>
      <c r="K77" s="179">
        <f t="shared" si="33"/>
        <v>0</v>
      </c>
      <c r="L77" s="184">
        <f t="shared" si="34"/>
        <v>0</v>
      </c>
      <c r="M77" s="121">
        <f t="shared" si="35"/>
        <v>0</v>
      </c>
      <c r="N77" s="121">
        <f t="shared" si="36"/>
        <v>0</v>
      </c>
      <c r="O77" s="121">
        <f t="shared" si="37"/>
        <v>0</v>
      </c>
      <c r="P77" s="123">
        <f t="shared" si="38"/>
        <v>0</v>
      </c>
    </row>
    <row r="78" spans="1:16" ht="13.2" x14ac:dyDescent="0.2">
      <c r="A78" s="110">
        <v>18</v>
      </c>
      <c r="B78" s="106"/>
      <c r="C78" s="99" t="s">
        <v>290</v>
      </c>
      <c r="D78" s="106" t="s">
        <v>99</v>
      </c>
      <c r="E78" s="112">
        <f>E76*4.5*1.5</f>
        <v>127.035</v>
      </c>
      <c r="F78" s="120"/>
      <c r="G78" s="121"/>
      <c r="H78" s="122"/>
      <c r="I78" s="121"/>
      <c r="J78" s="121"/>
      <c r="K78" s="179">
        <f t="shared" si="33"/>
        <v>0</v>
      </c>
      <c r="L78" s="184">
        <f t="shared" si="34"/>
        <v>0</v>
      </c>
      <c r="M78" s="121">
        <f t="shared" si="35"/>
        <v>0</v>
      </c>
      <c r="N78" s="121">
        <f t="shared" si="36"/>
        <v>0</v>
      </c>
      <c r="O78" s="121">
        <f t="shared" si="37"/>
        <v>0</v>
      </c>
      <c r="P78" s="123">
        <f t="shared" si="38"/>
        <v>0</v>
      </c>
    </row>
    <row r="79" spans="1:16" ht="13.2" x14ac:dyDescent="0.2">
      <c r="A79" s="110">
        <v>19</v>
      </c>
      <c r="B79" s="106"/>
      <c r="C79" s="99" t="s">
        <v>101</v>
      </c>
      <c r="D79" s="106" t="s">
        <v>73</v>
      </c>
      <c r="E79" s="112">
        <f>E76*1.2*2</f>
        <v>45.167999999999999</v>
      </c>
      <c r="F79" s="120"/>
      <c r="G79" s="121"/>
      <c r="H79" s="122"/>
      <c r="I79" s="121"/>
      <c r="J79" s="121"/>
      <c r="K79" s="179">
        <f t="shared" si="33"/>
        <v>0</v>
      </c>
      <c r="L79" s="184">
        <f t="shared" si="34"/>
        <v>0</v>
      </c>
      <c r="M79" s="121">
        <f t="shared" si="35"/>
        <v>0</v>
      </c>
      <c r="N79" s="121">
        <f t="shared" si="36"/>
        <v>0</v>
      </c>
      <c r="O79" s="121">
        <f t="shared" si="37"/>
        <v>0</v>
      </c>
      <c r="P79" s="123">
        <f t="shared" si="38"/>
        <v>0</v>
      </c>
    </row>
    <row r="80" spans="1:16" ht="13.2" x14ac:dyDescent="0.2">
      <c r="A80" s="110">
        <v>20</v>
      </c>
      <c r="B80" s="106" t="s">
        <v>60</v>
      </c>
      <c r="C80" s="100" t="s">
        <v>117</v>
      </c>
      <c r="D80" s="106" t="s">
        <v>73</v>
      </c>
      <c r="E80" s="112">
        <f>E71</f>
        <v>458.37</v>
      </c>
      <c r="F80" s="120"/>
      <c r="G80" s="121"/>
      <c r="H80" s="122">
        <f>ROUND(F80*G80,2)</f>
        <v>0</v>
      </c>
      <c r="I80" s="121"/>
      <c r="J80" s="121"/>
      <c r="K80" s="179">
        <f t="shared" si="33"/>
        <v>0</v>
      </c>
      <c r="L80" s="184">
        <f t="shared" si="34"/>
        <v>0</v>
      </c>
      <c r="M80" s="121">
        <f t="shared" si="35"/>
        <v>0</v>
      </c>
      <c r="N80" s="121">
        <f t="shared" si="36"/>
        <v>0</v>
      </c>
      <c r="O80" s="121">
        <f t="shared" si="37"/>
        <v>0</v>
      </c>
      <c r="P80" s="123">
        <f t="shared" si="38"/>
        <v>0</v>
      </c>
    </row>
    <row r="81" spans="1:16" ht="26.4" x14ac:dyDescent="0.2">
      <c r="A81" s="110">
        <v>21</v>
      </c>
      <c r="B81" s="106"/>
      <c r="C81" s="99" t="s">
        <v>291</v>
      </c>
      <c r="D81" s="106" t="s">
        <v>96</v>
      </c>
      <c r="E81" s="112">
        <f>E80*0.12</f>
        <v>55.004399999999997</v>
      </c>
      <c r="F81" s="120"/>
      <c r="G81" s="121"/>
      <c r="H81" s="122"/>
      <c r="I81" s="121"/>
      <c r="J81" s="121"/>
      <c r="K81" s="179">
        <f t="shared" si="33"/>
        <v>0</v>
      </c>
      <c r="L81" s="184">
        <f t="shared" si="34"/>
        <v>0</v>
      </c>
      <c r="M81" s="121">
        <f t="shared" si="35"/>
        <v>0</v>
      </c>
      <c r="N81" s="121">
        <f t="shared" si="36"/>
        <v>0</v>
      </c>
      <c r="O81" s="121">
        <f t="shared" si="37"/>
        <v>0</v>
      </c>
      <c r="P81" s="123">
        <f t="shared" si="38"/>
        <v>0</v>
      </c>
    </row>
    <row r="82" spans="1:16" ht="26.4" x14ac:dyDescent="0.2">
      <c r="A82" s="110">
        <v>22</v>
      </c>
      <c r="B82" s="106"/>
      <c r="C82" s="99" t="s">
        <v>405</v>
      </c>
      <c r="D82" s="106" t="s">
        <v>99</v>
      </c>
      <c r="E82" s="112">
        <f>E80*4</f>
        <v>1833.48</v>
      </c>
      <c r="F82" s="120"/>
      <c r="G82" s="121"/>
      <c r="H82" s="122"/>
      <c r="I82" s="121"/>
      <c r="J82" s="121"/>
      <c r="K82" s="179">
        <f t="shared" si="33"/>
        <v>0</v>
      </c>
      <c r="L82" s="184">
        <f t="shared" si="34"/>
        <v>0</v>
      </c>
      <c r="M82" s="121">
        <f t="shared" si="35"/>
        <v>0</v>
      </c>
      <c r="N82" s="121">
        <f t="shared" si="36"/>
        <v>0</v>
      </c>
      <c r="O82" s="121">
        <f t="shared" si="37"/>
        <v>0</v>
      </c>
      <c r="P82" s="123">
        <f t="shared" si="38"/>
        <v>0</v>
      </c>
    </row>
    <row r="83" spans="1:16" ht="13.2" x14ac:dyDescent="0.2">
      <c r="A83" s="140"/>
      <c r="B83" s="107"/>
      <c r="C83" s="141" t="s">
        <v>237</v>
      </c>
      <c r="D83" s="142"/>
      <c r="E83" s="143"/>
      <c r="F83" s="144"/>
      <c r="G83" s="145"/>
      <c r="H83" s="122"/>
      <c r="I83" s="145"/>
      <c r="J83" s="145"/>
      <c r="K83" s="188"/>
      <c r="L83" s="189"/>
      <c r="M83" s="145"/>
      <c r="N83" s="145"/>
      <c r="O83" s="145"/>
      <c r="P83" s="153"/>
    </row>
    <row r="84" spans="1:16" ht="26.4" x14ac:dyDescent="0.2">
      <c r="A84" s="110">
        <v>1</v>
      </c>
      <c r="B84" s="106" t="s">
        <v>60</v>
      </c>
      <c r="C84" s="100" t="s">
        <v>107</v>
      </c>
      <c r="D84" s="106" t="s">
        <v>73</v>
      </c>
      <c r="E84" s="151">
        <v>464.53</v>
      </c>
      <c r="F84" s="120"/>
      <c r="G84" s="121"/>
      <c r="H84" s="122">
        <f t="shared" si="26"/>
        <v>0</v>
      </c>
      <c r="I84" s="121"/>
      <c r="J84" s="121"/>
      <c r="K84" s="179">
        <f>ROUND(H84+J84+I84,2)</f>
        <v>0</v>
      </c>
      <c r="L84" s="184">
        <f>ROUND(E84*F84,2)</f>
        <v>0</v>
      </c>
      <c r="M84" s="121">
        <f>ROUND(E84*H84,2)</f>
        <v>0</v>
      </c>
      <c r="N84" s="121">
        <f>ROUND(E84*I84,2)</f>
        <v>0</v>
      </c>
      <c r="O84" s="121">
        <f>ROUND(E84*J84,2)</f>
        <v>0</v>
      </c>
      <c r="P84" s="123">
        <f>ROUND(O84+N84+M84,2)</f>
        <v>0</v>
      </c>
    </row>
    <row r="85" spans="1:16" ht="13.2" x14ac:dyDescent="0.2">
      <c r="A85" s="110">
        <v>2</v>
      </c>
      <c r="B85" s="106"/>
      <c r="C85" s="99" t="s">
        <v>98</v>
      </c>
      <c r="D85" s="106" t="s">
        <v>96</v>
      </c>
      <c r="E85" s="112">
        <f>E84*0.12</f>
        <v>55.743599999999994</v>
      </c>
      <c r="F85" s="120"/>
      <c r="G85" s="121"/>
      <c r="H85" s="122"/>
      <c r="I85" s="121"/>
      <c r="J85" s="121"/>
      <c r="K85" s="179">
        <f t="shared" ref="K85:K86" si="39">ROUND(H85+J85+I85,2)</f>
        <v>0</v>
      </c>
      <c r="L85" s="184">
        <f t="shared" ref="L85:L86" si="40">ROUND(E85*F85,2)</f>
        <v>0</v>
      </c>
      <c r="M85" s="121">
        <f t="shared" ref="M85:M86" si="41">ROUND(E85*H85,2)</f>
        <v>0</v>
      </c>
      <c r="N85" s="121">
        <f t="shared" ref="N85:N86" si="42">ROUND(E85*I85,2)</f>
        <v>0</v>
      </c>
      <c r="O85" s="121">
        <f t="shared" ref="O85:O86" si="43">ROUND(E85*J85,2)</f>
        <v>0</v>
      </c>
      <c r="P85" s="123">
        <f t="shared" ref="P85:P86" si="44">ROUND(O85+N85+M85,2)</f>
        <v>0</v>
      </c>
    </row>
    <row r="86" spans="1:16" ht="26.4" x14ac:dyDescent="0.2">
      <c r="A86" s="110">
        <v>3</v>
      </c>
      <c r="B86" s="106"/>
      <c r="C86" s="99" t="s">
        <v>108</v>
      </c>
      <c r="D86" s="106" t="s">
        <v>109</v>
      </c>
      <c r="E86" s="152">
        <f>E84*5</f>
        <v>2322.6499999999996</v>
      </c>
      <c r="F86" s="120"/>
      <c r="G86" s="121"/>
      <c r="H86" s="122"/>
      <c r="I86" s="121"/>
      <c r="J86" s="121"/>
      <c r="K86" s="179">
        <f t="shared" si="39"/>
        <v>0</v>
      </c>
      <c r="L86" s="184">
        <f t="shared" si="40"/>
        <v>0</v>
      </c>
      <c r="M86" s="121">
        <f t="shared" si="41"/>
        <v>0</v>
      </c>
      <c r="N86" s="121">
        <f t="shared" si="42"/>
        <v>0</v>
      </c>
      <c r="O86" s="121">
        <f t="shared" si="43"/>
        <v>0</v>
      </c>
      <c r="P86" s="123">
        <f t="shared" si="44"/>
        <v>0</v>
      </c>
    </row>
    <row r="87" spans="1:16" ht="13.2" x14ac:dyDescent="0.2">
      <c r="A87" s="110">
        <v>4</v>
      </c>
      <c r="B87" s="106" t="s">
        <v>60</v>
      </c>
      <c r="C87" s="100" t="s">
        <v>102</v>
      </c>
      <c r="D87" s="106" t="s">
        <v>73</v>
      </c>
      <c r="E87" s="112">
        <f>E84</f>
        <v>464.53</v>
      </c>
      <c r="F87" s="120"/>
      <c r="G87" s="121"/>
      <c r="H87" s="122">
        <f t="shared" si="26"/>
        <v>0</v>
      </c>
      <c r="I87" s="121"/>
      <c r="J87" s="121"/>
      <c r="K87" s="179">
        <f>ROUND(H87+J87+I87,2)</f>
        <v>0</v>
      </c>
      <c r="L87" s="184">
        <f>ROUND(E87*F87,2)</f>
        <v>0</v>
      </c>
      <c r="M87" s="121">
        <f>ROUND(E87*H87,2)</f>
        <v>0</v>
      </c>
      <c r="N87" s="121">
        <f>ROUND(E87*I87,2)</f>
        <v>0</v>
      </c>
      <c r="O87" s="121">
        <f>ROUND(E87*J87,2)</f>
        <v>0</v>
      </c>
      <c r="P87" s="123">
        <f>ROUND(O87+N87+M87,2)</f>
        <v>0</v>
      </c>
    </row>
    <row r="88" spans="1:16" ht="26.4" x14ac:dyDescent="0.2">
      <c r="A88" s="110">
        <v>5</v>
      </c>
      <c r="B88" s="106"/>
      <c r="C88" s="99" t="s">
        <v>289</v>
      </c>
      <c r="D88" s="106" t="s">
        <v>96</v>
      </c>
      <c r="E88" s="112">
        <f>E87*0.12</f>
        <v>55.743599999999994</v>
      </c>
      <c r="F88" s="120"/>
      <c r="G88" s="121"/>
      <c r="H88" s="122"/>
      <c r="I88" s="121"/>
      <c r="J88" s="121"/>
      <c r="K88" s="179">
        <f t="shared" ref="K88:K101" si="45">ROUND(H88+J88+I88,2)</f>
        <v>0</v>
      </c>
      <c r="L88" s="184">
        <f t="shared" ref="L88:L101" si="46">ROUND(E88*F88,2)</f>
        <v>0</v>
      </c>
      <c r="M88" s="121">
        <f t="shared" ref="M88:M101" si="47">ROUND(E88*H88,2)</f>
        <v>0</v>
      </c>
      <c r="N88" s="121">
        <f t="shared" ref="N88:N101" si="48">ROUND(E88*I88,2)</f>
        <v>0</v>
      </c>
      <c r="O88" s="121">
        <f t="shared" ref="O88:O101" si="49">ROUND(E88*J88,2)</f>
        <v>0</v>
      </c>
      <c r="P88" s="123">
        <f t="shared" ref="P88:P101" si="50">ROUND(O88+N88+M88,2)</f>
        <v>0</v>
      </c>
    </row>
    <row r="89" spans="1:16" ht="13.2" x14ac:dyDescent="0.2">
      <c r="A89" s="110">
        <v>6</v>
      </c>
      <c r="B89" s="106"/>
      <c r="C89" s="99" t="s">
        <v>114</v>
      </c>
      <c r="D89" s="106" t="s">
        <v>99</v>
      </c>
      <c r="E89" s="152">
        <f>E87*5</f>
        <v>2322.6499999999996</v>
      </c>
      <c r="F89" s="120"/>
      <c r="G89" s="121"/>
      <c r="H89" s="122"/>
      <c r="I89" s="121"/>
      <c r="J89" s="121"/>
      <c r="K89" s="179">
        <f t="shared" si="45"/>
        <v>0</v>
      </c>
      <c r="L89" s="184">
        <f t="shared" si="46"/>
        <v>0</v>
      </c>
      <c r="M89" s="121">
        <f t="shared" si="47"/>
        <v>0</v>
      </c>
      <c r="N89" s="121">
        <f t="shared" si="48"/>
        <v>0</v>
      </c>
      <c r="O89" s="121">
        <f t="shared" si="49"/>
        <v>0</v>
      </c>
      <c r="P89" s="123">
        <f t="shared" si="50"/>
        <v>0</v>
      </c>
    </row>
    <row r="90" spans="1:16" ht="26.4" x14ac:dyDescent="0.2">
      <c r="A90" s="110">
        <v>7</v>
      </c>
      <c r="B90" s="106"/>
      <c r="C90" s="99" t="s">
        <v>379</v>
      </c>
      <c r="D90" s="106" t="s">
        <v>64</v>
      </c>
      <c r="E90" s="152">
        <f>ROUND(E84*8.16,0)</f>
        <v>3791</v>
      </c>
      <c r="F90" s="120"/>
      <c r="G90" s="121"/>
      <c r="H90" s="122"/>
      <c r="I90" s="121"/>
      <c r="J90" s="121"/>
      <c r="K90" s="179">
        <f t="shared" si="45"/>
        <v>0</v>
      </c>
      <c r="L90" s="184">
        <f t="shared" si="46"/>
        <v>0</v>
      </c>
      <c r="M90" s="121">
        <f t="shared" si="47"/>
        <v>0</v>
      </c>
      <c r="N90" s="121">
        <f t="shared" si="48"/>
        <v>0</v>
      </c>
      <c r="O90" s="121">
        <f t="shared" si="49"/>
        <v>0</v>
      </c>
      <c r="P90" s="123">
        <f t="shared" si="50"/>
        <v>0</v>
      </c>
    </row>
    <row r="91" spans="1:16" ht="13.2" x14ac:dyDescent="0.2">
      <c r="A91" s="110">
        <v>8</v>
      </c>
      <c r="B91" s="106"/>
      <c r="C91" s="99" t="s">
        <v>110</v>
      </c>
      <c r="D91" s="106" t="s">
        <v>64</v>
      </c>
      <c r="E91" s="112">
        <f>E90</f>
        <v>3791</v>
      </c>
      <c r="F91" s="120"/>
      <c r="G91" s="121"/>
      <c r="H91" s="122"/>
      <c r="I91" s="121"/>
      <c r="J91" s="121"/>
      <c r="K91" s="179">
        <f t="shared" si="45"/>
        <v>0</v>
      </c>
      <c r="L91" s="184">
        <f t="shared" si="46"/>
        <v>0</v>
      </c>
      <c r="M91" s="121">
        <f t="shared" si="47"/>
        <v>0</v>
      </c>
      <c r="N91" s="121">
        <f t="shared" si="48"/>
        <v>0</v>
      </c>
      <c r="O91" s="121">
        <f t="shared" si="49"/>
        <v>0</v>
      </c>
      <c r="P91" s="123">
        <f t="shared" si="50"/>
        <v>0</v>
      </c>
    </row>
    <row r="92" spans="1:16" ht="39.6" x14ac:dyDescent="0.2">
      <c r="A92" s="110">
        <v>9</v>
      </c>
      <c r="B92" s="106"/>
      <c r="C92" s="99" t="s">
        <v>286</v>
      </c>
      <c r="D92" s="106" t="s">
        <v>73</v>
      </c>
      <c r="E92" s="112">
        <f>E84*1.05</f>
        <v>487.75650000000002</v>
      </c>
      <c r="F92" s="120"/>
      <c r="G92" s="121"/>
      <c r="H92" s="122"/>
      <c r="I92" s="121"/>
      <c r="J92" s="121"/>
      <c r="K92" s="179">
        <f t="shared" si="45"/>
        <v>0</v>
      </c>
      <c r="L92" s="184">
        <f t="shared" si="46"/>
        <v>0</v>
      </c>
      <c r="M92" s="121">
        <f t="shared" si="47"/>
        <v>0</v>
      </c>
      <c r="N92" s="121">
        <f t="shared" si="48"/>
        <v>0</v>
      </c>
      <c r="O92" s="121">
        <f t="shared" si="49"/>
        <v>0</v>
      </c>
      <c r="P92" s="123">
        <f t="shared" si="50"/>
        <v>0</v>
      </c>
    </row>
    <row r="93" spans="1:16" ht="13.2" x14ac:dyDescent="0.2">
      <c r="A93" s="110">
        <v>10</v>
      </c>
      <c r="B93" s="106"/>
      <c r="C93" s="99" t="s">
        <v>111</v>
      </c>
      <c r="D93" s="106" t="s">
        <v>62</v>
      </c>
      <c r="E93" s="112">
        <f>11.25*1.1</f>
        <v>12.375000000000002</v>
      </c>
      <c r="F93" s="120"/>
      <c r="G93" s="121"/>
      <c r="H93" s="122"/>
      <c r="I93" s="121"/>
      <c r="J93" s="121"/>
      <c r="K93" s="179">
        <f t="shared" si="45"/>
        <v>0</v>
      </c>
      <c r="L93" s="184">
        <f t="shared" si="46"/>
        <v>0</v>
      </c>
      <c r="M93" s="121">
        <f t="shared" si="47"/>
        <v>0</v>
      </c>
      <c r="N93" s="121">
        <f t="shared" si="48"/>
        <v>0</v>
      </c>
      <c r="O93" s="121">
        <f t="shared" si="49"/>
        <v>0</v>
      </c>
      <c r="P93" s="123">
        <f t="shared" si="50"/>
        <v>0</v>
      </c>
    </row>
    <row r="94" spans="1:16" ht="13.2" x14ac:dyDescent="0.2">
      <c r="A94" s="110">
        <v>11</v>
      </c>
      <c r="B94" s="106" t="s">
        <v>60</v>
      </c>
      <c r="C94" s="100" t="s">
        <v>112</v>
      </c>
      <c r="D94" s="106" t="s">
        <v>73</v>
      </c>
      <c r="E94" s="112">
        <f>E87</f>
        <v>464.53</v>
      </c>
      <c r="F94" s="120"/>
      <c r="G94" s="121"/>
      <c r="H94" s="122">
        <f t="shared" si="26"/>
        <v>0</v>
      </c>
      <c r="I94" s="121"/>
      <c r="J94" s="121"/>
      <c r="K94" s="179">
        <f t="shared" si="45"/>
        <v>0</v>
      </c>
      <c r="L94" s="184">
        <f t="shared" si="46"/>
        <v>0</v>
      </c>
      <c r="M94" s="121">
        <f t="shared" si="47"/>
        <v>0</v>
      </c>
      <c r="N94" s="121">
        <f t="shared" si="48"/>
        <v>0</v>
      </c>
      <c r="O94" s="121">
        <f t="shared" si="49"/>
        <v>0</v>
      </c>
      <c r="P94" s="123">
        <f t="shared" si="50"/>
        <v>0</v>
      </c>
    </row>
    <row r="95" spans="1:16" ht="13.2" x14ac:dyDescent="0.2">
      <c r="A95" s="110">
        <v>12</v>
      </c>
      <c r="B95" s="106"/>
      <c r="C95" s="99" t="s">
        <v>113</v>
      </c>
      <c r="D95" s="106" t="s">
        <v>96</v>
      </c>
      <c r="E95" s="112">
        <f>E94*0.12</f>
        <v>55.743599999999994</v>
      </c>
      <c r="F95" s="120"/>
      <c r="G95" s="121"/>
      <c r="H95" s="122"/>
      <c r="I95" s="121"/>
      <c r="J95" s="121"/>
      <c r="K95" s="179">
        <f t="shared" si="45"/>
        <v>0</v>
      </c>
      <c r="L95" s="184">
        <f t="shared" si="46"/>
        <v>0</v>
      </c>
      <c r="M95" s="121">
        <f t="shared" si="47"/>
        <v>0</v>
      </c>
      <c r="N95" s="121">
        <f t="shared" si="48"/>
        <v>0</v>
      </c>
      <c r="O95" s="121">
        <f t="shared" si="49"/>
        <v>0</v>
      </c>
      <c r="P95" s="123">
        <f t="shared" si="50"/>
        <v>0</v>
      </c>
    </row>
    <row r="96" spans="1:16" ht="13.2" x14ac:dyDescent="0.2">
      <c r="A96" s="110">
        <v>13</v>
      </c>
      <c r="B96" s="106"/>
      <c r="C96" s="99" t="s">
        <v>290</v>
      </c>
      <c r="D96" s="106" t="s">
        <v>99</v>
      </c>
      <c r="E96" s="152">
        <f>E94*4.5</f>
        <v>2090.3849999999998</v>
      </c>
      <c r="F96" s="120"/>
      <c r="G96" s="121"/>
      <c r="H96" s="122"/>
      <c r="I96" s="121"/>
      <c r="J96" s="121"/>
      <c r="K96" s="179">
        <f t="shared" si="45"/>
        <v>0</v>
      </c>
      <c r="L96" s="184">
        <f t="shared" si="46"/>
        <v>0</v>
      </c>
      <c r="M96" s="121">
        <f t="shared" si="47"/>
        <v>0</v>
      </c>
      <c r="N96" s="121">
        <f t="shared" si="48"/>
        <v>0</v>
      </c>
      <c r="O96" s="121">
        <f t="shared" si="49"/>
        <v>0</v>
      </c>
      <c r="P96" s="123">
        <f t="shared" si="50"/>
        <v>0</v>
      </c>
    </row>
    <row r="97" spans="1:16" ht="13.2" x14ac:dyDescent="0.2">
      <c r="A97" s="110">
        <v>14</v>
      </c>
      <c r="B97" s="106"/>
      <c r="C97" s="99" t="s">
        <v>101</v>
      </c>
      <c r="D97" s="106" t="s">
        <v>73</v>
      </c>
      <c r="E97" s="112">
        <f>E94*1.2</f>
        <v>557.43599999999992</v>
      </c>
      <c r="F97" s="120"/>
      <c r="G97" s="121"/>
      <c r="H97" s="122"/>
      <c r="I97" s="121"/>
      <c r="J97" s="121"/>
      <c r="K97" s="179">
        <f t="shared" si="45"/>
        <v>0</v>
      </c>
      <c r="L97" s="184">
        <f t="shared" si="46"/>
        <v>0</v>
      </c>
      <c r="M97" s="121">
        <f t="shared" si="47"/>
        <v>0</v>
      </c>
      <c r="N97" s="121">
        <f t="shared" si="48"/>
        <v>0</v>
      </c>
      <c r="O97" s="121">
        <f t="shared" si="49"/>
        <v>0</v>
      </c>
      <c r="P97" s="123">
        <f t="shared" si="50"/>
        <v>0</v>
      </c>
    </row>
    <row r="98" spans="1:16" ht="13.2" x14ac:dyDescent="0.2">
      <c r="A98" s="110">
        <v>15</v>
      </c>
      <c r="B98" s="106"/>
      <c r="C98" s="99" t="s">
        <v>234</v>
      </c>
      <c r="D98" s="106" t="s">
        <v>62</v>
      </c>
      <c r="E98" s="112">
        <f>74.8*1.1+34.2</f>
        <v>116.48</v>
      </c>
      <c r="F98" s="120"/>
      <c r="G98" s="121"/>
      <c r="H98" s="122"/>
      <c r="I98" s="121"/>
      <c r="J98" s="121"/>
      <c r="K98" s="179">
        <f t="shared" si="45"/>
        <v>0</v>
      </c>
      <c r="L98" s="184">
        <f t="shared" si="46"/>
        <v>0</v>
      </c>
      <c r="M98" s="121">
        <f t="shared" si="47"/>
        <v>0</v>
      </c>
      <c r="N98" s="121">
        <f t="shared" si="48"/>
        <v>0</v>
      </c>
      <c r="O98" s="121">
        <f t="shared" si="49"/>
        <v>0</v>
      </c>
      <c r="P98" s="123">
        <f t="shared" si="50"/>
        <v>0</v>
      </c>
    </row>
    <row r="99" spans="1:16" ht="13.2" x14ac:dyDescent="0.2">
      <c r="A99" s="110">
        <v>16</v>
      </c>
      <c r="B99" s="106" t="s">
        <v>60</v>
      </c>
      <c r="C99" s="100" t="s">
        <v>117</v>
      </c>
      <c r="D99" s="106" t="s">
        <v>73</v>
      </c>
      <c r="E99" s="112">
        <f>E94</f>
        <v>464.53</v>
      </c>
      <c r="F99" s="120"/>
      <c r="G99" s="121"/>
      <c r="H99" s="122">
        <f t="shared" si="26"/>
        <v>0</v>
      </c>
      <c r="I99" s="121"/>
      <c r="J99" s="121"/>
      <c r="K99" s="179">
        <f t="shared" si="45"/>
        <v>0</v>
      </c>
      <c r="L99" s="184">
        <f t="shared" si="46"/>
        <v>0</v>
      </c>
      <c r="M99" s="121">
        <f t="shared" si="47"/>
        <v>0</v>
      </c>
      <c r="N99" s="121">
        <f t="shared" si="48"/>
        <v>0</v>
      </c>
      <c r="O99" s="121">
        <f t="shared" si="49"/>
        <v>0</v>
      </c>
      <c r="P99" s="123">
        <f t="shared" si="50"/>
        <v>0</v>
      </c>
    </row>
    <row r="100" spans="1:16" ht="26.4" x14ac:dyDescent="0.2">
      <c r="A100" s="110">
        <v>17</v>
      </c>
      <c r="B100" s="106"/>
      <c r="C100" s="99" t="s">
        <v>291</v>
      </c>
      <c r="D100" s="106" t="s">
        <v>96</v>
      </c>
      <c r="E100" s="112">
        <f>E99*0.12</f>
        <v>55.743599999999994</v>
      </c>
      <c r="F100" s="120"/>
      <c r="G100" s="121"/>
      <c r="H100" s="122"/>
      <c r="I100" s="121"/>
      <c r="J100" s="121"/>
      <c r="K100" s="179">
        <f t="shared" si="45"/>
        <v>0</v>
      </c>
      <c r="L100" s="184">
        <f t="shared" si="46"/>
        <v>0</v>
      </c>
      <c r="M100" s="121">
        <f t="shared" si="47"/>
        <v>0</v>
      </c>
      <c r="N100" s="121">
        <f t="shared" si="48"/>
        <v>0</v>
      </c>
      <c r="O100" s="121">
        <f t="shared" si="49"/>
        <v>0</v>
      </c>
      <c r="P100" s="123">
        <f t="shared" si="50"/>
        <v>0</v>
      </c>
    </row>
    <row r="101" spans="1:16" ht="26.4" x14ac:dyDescent="0.2">
      <c r="A101" s="110">
        <v>18</v>
      </c>
      <c r="B101" s="106"/>
      <c r="C101" s="99" t="s">
        <v>405</v>
      </c>
      <c r="D101" s="106" t="s">
        <v>99</v>
      </c>
      <c r="E101" s="112">
        <f>E99*4</f>
        <v>1858.12</v>
      </c>
      <c r="F101" s="120"/>
      <c r="G101" s="121"/>
      <c r="H101" s="122"/>
      <c r="I101" s="121"/>
      <c r="J101" s="121"/>
      <c r="K101" s="179">
        <f t="shared" si="45"/>
        <v>0</v>
      </c>
      <c r="L101" s="184">
        <f t="shared" si="46"/>
        <v>0</v>
      </c>
      <c r="M101" s="121">
        <f t="shared" si="47"/>
        <v>0</v>
      </c>
      <c r="N101" s="121">
        <f t="shared" si="48"/>
        <v>0</v>
      </c>
      <c r="O101" s="121">
        <f t="shared" si="49"/>
        <v>0</v>
      </c>
      <c r="P101" s="123">
        <f t="shared" si="50"/>
        <v>0</v>
      </c>
    </row>
    <row r="102" spans="1:16" ht="13.2" x14ac:dyDescent="0.2">
      <c r="A102" s="140"/>
      <c r="B102" s="107"/>
      <c r="C102" s="141" t="s">
        <v>238</v>
      </c>
      <c r="D102" s="142"/>
      <c r="E102" s="143"/>
      <c r="F102" s="144"/>
      <c r="G102" s="121"/>
      <c r="H102" s="122"/>
      <c r="I102" s="145"/>
      <c r="J102" s="145"/>
      <c r="K102" s="188"/>
      <c r="L102" s="189"/>
      <c r="M102" s="145"/>
      <c r="N102" s="145"/>
      <c r="O102" s="146"/>
      <c r="P102" s="147"/>
    </row>
    <row r="103" spans="1:16" ht="13.2" x14ac:dyDescent="0.2">
      <c r="A103" s="110">
        <v>1</v>
      </c>
      <c r="B103" s="106" t="s">
        <v>60</v>
      </c>
      <c r="C103" s="111" t="s">
        <v>239</v>
      </c>
      <c r="D103" s="106" t="s">
        <v>73</v>
      </c>
      <c r="E103" s="154">
        <v>6</v>
      </c>
      <c r="F103" s="120"/>
      <c r="G103" s="121"/>
      <c r="H103" s="122">
        <f t="shared" ref="H103" si="51">ROUND(F103*G103,2)</f>
        <v>0</v>
      </c>
      <c r="I103" s="121"/>
      <c r="J103" s="121"/>
      <c r="K103" s="179">
        <f t="shared" ref="K103:K109" si="52">ROUND(H103+J103+I103,2)</f>
        <v>0</v>
      </c>
      <c r="L103" s="184">
        <f t="shared" ref="L103:L109" si="53">ROUND(E103*F103,2)</f>
        <v>0</v>
      </c>
      <c r="M103" s="121">
        <f t="shared" ref="M103:M109" si="54">ROUND(E103*H103,2)</f>
        <v>0</v>
      </c>
      <c r="N103" s="121">
        <f t="shared" ref="N103:N109" si="55">ROUND(E103*I103,2)</f>
        <v>0</v>
      </c>
      <c r="O103" s="121">
        <f t="shared" ref="O103:O109" si="56">ROUND(E103*J103,2)</f>
        <v>0</v>
      </c>
      <c r="P103" s="123">
        <f t="shared" ref="P103:P109" si="57">ROUND(O103+N103+M103,2)</f>
        <v>0</v>
      </c>
    </row>
    <row r="104" spans="1:16" ht="13.2" x14ac:dyDescent="0.2">
      <c r="A104" s="140">
        <v>2</v>
      </c>
      <c r="B104" s="106"/>
      <c r="C104" s="99" t="s">
        <v>240</v>
      </c>
      <c r="D104" s="106" t="s">
        <v>73</v>
      </c>
      <c r="E104" s="155">
        <f>E103*1.15</f>
        <v>6.8999999999999995</v>
      </c>
      <c r="F104" s="120"/>
      <c r="G104" s="121"/>
      <c r="H104" s="122"/>
      <c r="I104" s="121"/>
      <c r="J104" s="121"/>
      <c r="K104" s="179">
        <f t="shared" si="52"/>
        <v>0</v>
      </c>
      <c r="L104" s="184">
        <f t="shared" si="53"/>
        <v>0</v>
      </c>
      <c r="M104" s="121">
        <f t="shared" si="54"/>
        <v>0</v>
      </c>
      <c r="N104" s="121">
        <f t="shared" si="55"/>
        <v>0</v>
      </c>
      <c r="O104" s="121">
        <f t="shared" si="56"/>
        <v>0</v>
      </c>
      <c r="P104" s="123">
        <f t="shared" si="57"/>
        <v>0</v>
      </c>
    </row>
    <row r="105" spans="1:16" ht="13.2" x14ac:dyDescent="0.2">
      <c r="A105" s="110">
        <v>3</v>
      </c>
      <c r="B105" s="106"/>
      <c r="C105" s="99" t="s">
        <v>241</v>
      </c>
      <c r="D105" s="106" t="s">
        <v>99</v>
      </c>
      <c r="E105" s="155">
        <f>E103*5</f>
        <v>30</v>
      </c>
      <c r="F105" s="120"/>
      <c r="G105" s="121"/>
      <c r="H105" s="122"/>
      <c r="I105" s="121"/>
      <c r="J105" s="121"/>
      <c r="K105" s="179">
        <f t="shared" si="52"/>
        <v>0</v>
      </c>
      <c r="L105" s="184">
        <f t="shared" si="53"/>
        <v>0</v>
      </c>
      <c r="M105" s="121">
        <f t="shared" si="54"/>
        <v>0</v>
      </c>
      <c r="N105" s="121">
        <f t="shared" si="55"/>
        <v>0</v>
      </c>
      <c r="O105" s="121">
        <f t="shared" si="56"/>
        <v>0</v>
      </c>
      <c r="P105" s="123">
        <f t="shared" si="57"/>
        <v>0</v>
      </c>
    </row>
    <row r="106" spans="1:16" ht="13.2" x14ac:dyDescent="0.2">
      <c r="A106" s="110">
        <v>4</v>
      </c>
      <c r="B106" s="106"/>
      <c r="C106" s="99" t="s">
        <v>119</v>
      </c>
      <c r="D106" s="106" t="s">
        <v>68</v>
      </c>
      <c r="E106" s="112">
        <v>1</v>
      </c>
      <c r="F106" s="120"/>
      <c r="G106" s="121"/>
      <c r="H106" s="122"/>
      <c r="I106" s="121"/>
      <c r="J106" s="121"/>
      <c r="K106" s="179">
        <f t="shared" si="52"/>
        <v>0</v>
      </c>
      <c r="L106" s="184">
        <f t="shared" si="53"/>
        <v>0</v>
      </c>
      <c r="M106" s="121">
        <f t="shared" si="54"/>
        <v>0</v>
      </c>
      <c r="N106" s="121">
        <f t="shared" si="55"/>
        <v>0</v>
      </c>
      <c r="O106" s="121">
        <f t="shared" si="56"/>
        <v>0</v>
      </c>
      <c r="P106" s="123">
        <f t="shared" si="57"/>
        <v>0</v>
      </c>
    </row>
    <row r="107" spans="1:16" ht="26.4" x14ac:dyDescent="0.2">
      <c r="A107" s="140">
        <v>5</v>
      </c>
      <c r="B107" s="106" t="s">
        <v>60</v>
      </c>
      <c r="C107" s="111" t="s">
        <v>242</v>
      </c>
      <c r="D107" s="106" t="s">
        <v>64</v>
      </c>
      <c r="E107" s="112">
        <v>3</v>
      </c>
      <c r="F107" s="120"/>
      <c r="G107" s="121"/>
      <c r="H107" s="122">
        <f>ROUND(F107*G107,2)</f>
        <v>0</v>
      </c>
      <c r="I107" s="121"/>
      <c r="J107" s="121"/>
      <c r="K107" s="179">
        <f t="shared" si="52"/>
        <v>0</v>
      </c>
      <c r="L107" s="184">
        <f t="shared" si="53"/>
        <v>0</v>
      </c>
      <c r="M107" s="121">
        <f t="shared" si="54"/>
        <v>0</v>
      </c>
      <c r="N107" s="121">
        <f t="shared" si="55"/>
        <v>0</v>
      </c>
      <c r="O107" s="121">
        <f t="shared" si="56"/>
        <v>0</v>
      </c>
      <c r="P107" s="123">
        <f t="shared" si="57"/>
        <v>0</v>
      </c>
    </row>
    <row r="108" spans="1:16" ht="26.4" x14ac:dyDescent="0.2">
      <c r="A108" s="110">
        <v>6</v>
      </c>
      <c r="B108" s="106" t="s">
        <v>60</v>
      </c>
      <c r="C108" s="111" t="s">
        <v>243</v>
      </c>
      <c r="D108" s="106" t="s">
        <v>64</v>
      </c>
      <c r="E108" s="112">
        <v>2</v>
      </c>
      <c r="F108" s="120"/>
      <c r="G108" s="121"/>
      <c r="H108" s="122">
        <f>ROUND(F108*G108,2)</f>
        <v>0</v>
      </c>
      <c r="I108" s="121"/>
      <c r="J108" s="121"/>
      <c r="K108" s="179">
        <f t="shared" si="52"/>
        <v>0</v>
      </c>
      <c r="L108" s="184">
        <f t="shared" si="53"/>
        <v>0</v>
      </c>
      <c r="M108" s="121">
        <f t="shared" si="54"/>
        <v>0</v>
      </c>
      <c r="N108" s="121">
        <f t="shared" si="55"/>
        <v>0</v>
      </c>
      <c r="O108" s="121">
        <f t="shared" si="56"/>
        <v>0</v>
      </c>
      <c r="P108" s="123">
        <f t="shared" si="57"/>
        <v>0</v>
      </c>
    </row>
    <row r="109" spans="1:16" ht="26.4" x14ac:dyDescent="0.2">
      <c r="A109" s="110">
        <v>7</v>
      </c>
      <c r="B109" s="106" t="s">
        <v>60</v>
      </c>
      <c r="C109" s="111" t="s">
        <v>244</v>
      </c>
      <c r="D109" s="106" t="s">
        <v>64</v>
      </c>
      <c r="E109" s="154">
        <v>1</v>
      </c>
      <c r="F109" s="120"/>
      <c r="G109" s="121"/>
      <c r="H109" s="122">
        <f>ROUND(F109*G109,2)</f>
        <v>0</v>
      </c>
      <c r="I109" s="121"/>
      <c r="J109" s="121"/>
      <c r="K109" s="179">
        <f t="shared" si="52"/>
        <v>0</v>
      </c>
      <c r="L109" s="184">
        <f t="shared" si="53"/>
        <v>0</v>
      </c>
      <c r="M109" s="121">
        <f t="shared" si="54"/>
        <v>0</v>
      </c>
      <c r="N109" s="121">
        <f t="shared" si="55"/>
        <v>0</v>
      </c>
      <c r="O109" s="121">
        <f t="shared" si="56"/>
        <v>0</v>
      </c>
      <c r="P109" s="123">
        <f t="shared" si="57"/>
        <v>0</v>
      </c>
    </row>
    <row r="110" spans="1:16" ht="13.2" x14ac:dyDescent="0.2">
      <c r="A110" s="140"/>
      <c r="B110" s="107"/>
      <c r="C110" s="141" t="s">
        <v>245</v>
      </c>
      <c r="D110" s="142"/>
      <c r="E110" s="143"/>
      <c r="F110" s="144"/>
      <c r="G110" s="121"/>
      <c r="H110" s="122"/>
      <c r="I110" s="145"/>
      <c r="J110" s="145"/>
      <c r="K110" s="188"/>
      <c r="L110" s="189"/>
      <c r="M110" s="145"/>
      <c r="N110" s="145"/>
      <c r="O110" s="146"/>
      <c r="P110" s="147"/>
    </row>
    <row r="111" spans="1:16" ht="26.4" x14ac:dyDescent="0.2">
      <c r="A111" s="110">
        <v>1</v>
      </c>
      <c r="B111" s="106" t="s">
        <v>60</v>
      </c>
      <c r="C111" s="111" t="s">
        <v>242</v>
      </c>
      <c r="D111" s="106" t="s">
        <v>64</v>
      </c>
      <c r="E111" s="112">
        <v>2</v>
      </c>
      <c r="F111" s="120"/>
      <c r="G111" s="121"/>
      <c r="H111" s="122">
        <f>ROUND(F111*G111,2)</f>
        <v>0</v>
      </c>
      <c r="I111" s="121"/>
      <c r="J111" s="121"/>
      <c r="K111" s="179">
        <f>ROUND(H111+J111+I111,2)</f>
        <v>0</v>
      </c>
      <c r="L111" s="184">
        <f>ROUND(E111*F111,2)</f>
        <v>0</v>
      </c>
      <c r="M111" s="121">
        <f>ROUND(E111*H111,2)</f>
        <v>0</v>
      </c>
      <c r="N111" s="121">
        <f>ROUND(E111*I111,2)</f>
        <v>0</v>
      </c>
      <c r="O111" s="121">
        <f>ROUND(E111*J111,2)</f>
        <v>0</v>
      </c>
      <c r="P111" s="123">
        <f>ROUND(O111+N111+M111,2)</f>
        <v>0</v>
      </c>
    </row>
    <row r="112" spans="1:16" ht="26.4" x14ac:dyDescent="0.2">
      <c r="A112" s="110">
        <v>2</v>
      </c>
      <c r="B112" s="106" t="s">
        <v>60</v>
      </c>
      <c r="C112" s="111" t="s">
        <v>243</v>
      </c>
      <c r="D112" s="106" t="s">
        <v>64</v>
      </c>
      <c r="E112" s="112">
        <v>1</v>
      </c>
      <c r="F112" s="120"/>
      <c r="G112" s="121"/>
      <c r="H112" s="122">
        <f>ROUND(F112*G112,2)</f>
        <v>0</v>
      </c>
      <c r="I112" s="121"/>
      <c r="J112" s="121"/>
      <c r="K112" s="179">
        <f>ROUND(H112+J112+I112,2)</f>
        <v>0</v>
      </c>
      <c r="L112" s="184">
        <f>ROUND(E112*F112,2)</f>
        <v>0</v>
      </c>
      <c r="M112" s="121">
        <f>ROUND(E112*H112,2)</f>
        <v>0</v>
      </c>
      <c r="N112" s="121">
        <f>ROUND(E112*I112,2)</f>
        <v>0</v>
      </c>
      <c r="O112" s="121">
        <f>ROUND(E112*J112,2)</f>
        <v>0</v>
      </c>
      <c r="P112" s="123">
        <f>ROUND(O112+N112+M112,2)</f>
        <v>0</v>
      </c>
    </row>
    <row r="113" spans="1:16" ht="26.4" x14ac:dyDescent="0.2">
      <c r="A113" s="110">
        <v>3</v>
      </c>
      <c r="B113" s="106" t="s">
        <v>60</v>
      </c>
      <c r="C113" s="111" t="s">
        <v>244</v>
      </c>
      <c r="D113" s="106" t="s">
        <v>64</v>
      </c>
      <c r="E113" s="154">
        <v>1</v>
      </c>
      <c r="F113" s="120"/>
      <c r="G113" s="121"/>
      <c r="H113" s="122">
        <f>ROUND(F113*G113,2)</f>
        <v>0</v>
      </c>
      <c r="I113" s="121"/>
      <c r="J113" s="121"/>
      <c r="K113" s="179">
        <f>ROUND(H113+J113+I113,2)</f>
        <v>0</v>
      </c>
      <c r="L113" s="184">
        <f>ROUND(E113*F113,2)</f>
        <v>0</v>
      </c>
      <c r="M113" s="121">
        <f>ROUND(E113*H113,2)</f>
        <v>0</v>
      </c>
      <c r="N113" s="121">
        <f>ROUND(E113*I113,2)</f>
        <v>0</v>
      </c>
      <c r="O113" s="121">
        <f>ROUND(E113*J113,2)</f>
        <v>0</v>
      </c>
      <c r="P113" s="123">
        <f>ROUND(O113+N113+M113,2)</f>
        <v>0</v>
      </c>
    </row>
    <row r="114" spans="1:16" ht="13.2" x14ac:dyDescent="0.2">
      <c r="A114" s="110">
        <v>4</v>
      </c>
      <c r="B114" s="106" t="s">
        <v>60</v>
      </c>
      <c r="C114" s="111" t="s">
        <v>297</v>
      </c>
      <c r="D114" s="106" t="s">
        <v>64</v>
      </c>
      <c r="E114" s="112">
        <v>1</v>
      </c>
      <c r="F114" s="120"/>
      <c r="G114" s="121"/>
      <c r="H114" s="122">
        <f>ROUND(F114*G114,2)</f>
        <v>0</v>
      </c>
      <c r="I114" s="121"/>
      <c r="J114" s="121"/>
      <c r="K114" s="179">
        <f>ROUND(H114+J114+I114,2)</f>
        <v>0</v>
      </c>
      <c r="L114" s="184">
        <f>ROUND(E114*F114,2)</f>
        <v>0</v>
      </c>
      <c r="M114" s="121">
        <f>ROUND(E114*H114,2)</f>
        <v>0</v>
      </c>
      <c r="N114" s="121">
        <f>ROUND(E114*I114,2)</f>
        <v>0</v>
      </c>
      <c r="O114" s="121">
        <f>ROUND(E114*J114,2)</f>
        <v>0</v>
      </c>
      <c r="P114" s="123">
        <f>ROUND(O114+N114+M114,2)</f>
        <v>0</v>
      </c>
    </row>
    <row r="115" spans="1:16" ht="26.4" x14ac:dyDescent="0.2">
      <c r="A115" s="110">
        <v>5</v>
      </c>
      <c r="B115" s="106" t="s">
        <v>60</v>
      </c>
      <c r="C115" s="111" t="s">
        <v>295</v>
      </c>
      <c r="D115" s="106" t="s">
        <v>62</v>
      </c>
      <c r="E115" s="112">
        <v>30.4</v>
      </c>
      <c r="F115" s="120"/>
      <c r="G115" s="121"/>
      <c r="H115" s="122">
        <f>ROUND(F115*G115,2)</f>
        <v>0</v>
      </c>
      <c r="I115" s="121"/>
      <c r="J115" s="121"/>
      <c r="K115" s="179">
        <f>ROUND(H115+J115+I115,2)</f>
        <v>0</v>
      </c>
      <c r="L115" s="184">
        <f>ROUND(E115*F115,2)</f>
        <v>0</v>
      </c>
      <c r="M115" s="121">
        <f>ROUND(E115*H115,2)</f>
        <v>0</v>
      </c>
      <c r="N115" s="121">
        <f>ROUND(E115*I115,2)</f>
        <v>0</v>
      </c>
      <c r="O115" s="121">
        <f>ROUND(E115*J115,2)</f>
        <v>0</v>
      </c>
      <c r="P115" s="123">
        <f>ROUND(O115+N115+M115,2)</f>
        <v>0</v>
      </c>
    </row>
    <row r="116" spans="1:16" ht="13.2" x14ac:dyDescent="0.2">
      <c r="A116" s="140"/>
      <c r="B116" s="107"/>
      <c r="C116" s="141" t="s">
        <v>246</v>
      </c>
      <c r="D116" s="142"/>
      <c r="E116" s="143"/>
      <c r="F116" s="144"/>
      <c r="G116" s="121"/>
      <c r="H116" s="122"/>
      <c r="I116" s="145"/>
      <c r="J116" s="145"/>
      <c r="K116" s="188"/>
      <c r="L116" s="189"/>
      <c r="M116" s="145"/>
      <c r="N116" s="145"/>
      <c r="O116" s="146"/>
      <c r="P116" s="147"/>
    </row>
    <row r="117" spans="1:16" ht="13.2" x14ac:dyDescent="0.2">
      <c r="A117" s="110">
        <v>1</v>
      </c>
      <c r="B117" s="106" t="s">
        <v>60</v>
      </c>
      <c r="C117" s="111" t="s">
        <v>247</v>
      </c>
      <c r="D117" s="106" t="s">
        <v>73</v>
      </c>
      <c r="E117" s="112">
        <v>11.7</v>
      </c>
      <c r="F117" s="120"/>
      <c r="G117" s="121"/>
      <c r="H117" s="122">
        <f>ROUND(F117*G117,2)</f>
        <v>0</v>
      </c>
      <c r="I117" s="121"/>
      <c r="J117" s="121"/>
      <c r="K117" s="179">
        <f t="shared" ref="K117:K124" si="58">ROUND(H117+J117+I117,2)</f>
        <v>0</v>
      </c>
      <c r="L117" s="184">
        <f t="shared" ref="L117:L124" si="59">ROUND(E117*F117,2)</f>
        <v>0</v>
      </c>
      <c r="M117" s="121">
        <f t="shared" ref="M117:M124" si="60">ROUND(E117*H117,2)</f>
        <v>0</v>
      </c>
      <c r="N117" s="121">
        <f t="shared" ref="N117:N124" si="61">ROUND(E117*I117,2)</f>
        <v>0</v>
      </c>
      <c r="O117" s="121">
        <f t="shared" ref="O117:O124" si="62">ROUND(E117*J117,2)</f>
        <v>0</v>
      </c>
      <c r="P117" s="123">
        <f t="shared" ref="P117:P124" si="63">ROUND(O117+N117+M117,2)</f>
        <v>0</v>
      </c>
    </row>
    <row r="118" spans="1:16" ht="13.2" x14ac:dyDescent="0.2">
      <c r="A118" s="110">
        <v>2</v>
      </c>
      <c r="B118" s="106"/>
      <c r="C118" s="99" t="s">
        <v>292</v>
      </c>
      <c r="D118" s="106" t="s">
        <v>96</v>
      </c>
      <c r="E118" s="112">
        <f>E117*0.17</f>
        <v>1.9890000000000001</v>
      </c>
      <c r="F118" s="120"/>
      <c r="G118" s="121"/>
      <c r="H118" s="122"/>
      <c r="I118" s="121"/>
      <c r="J118" s="121"/>
      <c r="K118" s="179">
        <f t="shared" si="58"/>
        <v>0</v>
      </c>
      <c r="L118" s="184">
        <f t="shared" si="59"/>
        <v>0</v>
      </c>
      <c r="M118" s="121">
        <f t="shared" si="60"/>
        <v>0</v>
      </c>
      <c r="N118" s="121">
        <f t="shared" si="61"/>
        <v>0</v>
      </c>
      <c r="O118" s="121">
        <f t="shared" si="62"/>
        <v>0</v>
      </c>
      <c r="P118" s="123">
        <f t="shared" si="63"/>
        <v>0</v>
      </c>
    </row>
    <row r="119" spans="1:16" ht="13.2" x14ac:dyDescent="0.2">
      <c r="A119" s="110">
        <v>3</v>
      </c>
      <c r="B119" s="106"/>
      <c r="C119" s="99" t="s">
        <v>293</v>
      </c>
      <c r="D119" s="106" t="s">
        <v>99</v>
      </c>
      <c r="E119" s="112">
        <f>E117*1.53*6*1.1</f>
        <v>118.14660000000002</v>
      </c>
      <c r="F119" s="120"/>
      <c r="G119" s="121"/>
      <c r="H119" s="122"/>
      <c r="I119" s="121"/>
      <c r="J119" s="121"/>
      <c r="K119" s="179">
        <f t="shared" si="58"/>
        <v>0</v>
      </c>
      <c r="L119" s="184">
        <f t="shared" si="59"/>
        <v>0</v>
      </c>
      <c r="M119" s="121">
        <f t="shared" si="60"/>
        <v>0</v>
      </c>
      <c r="N119" s="121">
        <f t="shared" si="61"/>
        <v>0</v>
      </c>
      <c r="O119" s="121">
        <f t="shared" si="62"/>
        <v>0</v>
      </c>
      <c r="P119" s="123">
        <f t="shared" si="63"/>
        <v>0</v>
      </c>
    </row>
    <row r="120" spans="1:16" ht="26.4" x14ac:dyDescent="0.2">
      <c r="A120" s="110">
        <v>5</v>
      </c>
      <c r="B120" s="106"/>
      <c r="C120" s="99" t="s">
        <v>294</v>
      </c>
      <c r="D120" s="106" t="s">
        <v>96</v>
      </c>
      <c r="E120" s="154">
        <f>E117*0.17</f>
        <v>1.9890000000000001</v>
      </c>
      <c r="F120" s="120"/>
      <c r="G120" s="121"/>
      <c r="H120" s="122"/>
      <c r="I120" s="121"/>
      <c r="J120" s="121"/>
      <c r="K120" s="179">
        <f t="shared" si="58"/>
        <v>0</v>
      </c>
      <c r="L120" s="184">
        <f t="shared" si="59"/>
        <v>0</v>
      </c>
      <c r="M120" s="121">
        <f t="shared" si="60"/>
        <v>0</v>
      </c>
      <c r="N120" s="121">
        <f t="shared" si="61"/>
        <v>0</v>
      </c>
      <c r="O120" s="121">
        <f t="shared" si="62"/>
        <v>0</v>
      </c>
      <c r="P120" s="123">
        <f t="shared" si="63"/>
        <v>0</v>
      </c>
    </row>
    <row r="121" spans="1:16" ht="26.4" x14ac:dyDescent="0.2">
      <c r="A121" s="110">
        <v>6</v>
      </c>
      <c r="B121" s="106"/>
      <c r="C121" s="99" t="s">
        <v>384</v>
      </c>
      <c r="D121" s="106" t="s">
        <v>99</v>
      </c>
      <c r="E121" s="112">
        <f>E117*3*1.1</f>
        <v>38.61</v>
      </c>
      <c r="F121" s="120"/>
      <c r="G121" s="121"/>
      <c r="H121" s="122"/>
      <c r="I121" s="121"/>
      <c r="J121" s="121"/>
      <c r="K121" s="179">
        <f t="shared" si="58"/>
        <v>0</v>
      </c>
      <c r="L121" s="184">
        <f t="shared" si="59"/>
        <v>0</v>
      </c>
      <c r="M121" s="121">
        <f t="shared" si="60"/>
        <v>0</v>
      </c>
      <c r="N121" s="121">
        <f t="shared" si="61"/>
        <v>0</v>
      </c>
      <c r="O121" s="121">
        <f t="shared" si="62"/>
        <v>0</v>
      </c>
      <c r="P121" s="123">
        <f t="shared" si="63"/>
        <v>0</v>
      </c>
    </row>
    <row r="122" spans="1:16" ht="13.2" x14ac:dyDescent="0.2">
      <c r="A122" s="110">
        <v>7</v>
      </c>
      <c r="B122" s="106"/>
      <c r="C122" s="99" t="s">
        <v>119</v>
      </c>
      <c r="D122" s="106" t="s">
        <v>73</v>
      </c>
      <c r="E122" s="112">
        <f>E117</f>
        <v>11.7</v>
      </c>
      <c r="F122" s="120"/>
      <c r="G122" s="121"/>
      <c r="H122" s="122"/>
      <c r="I122" s="121"/>
      <c r="J122" s="121"/>
      <c r="K122" s="179">
        <f t="shared" si="58"/>
        <v>0</v>
      </c>
      <c r="L122" s="184">
        <f t="shared" si="59"/>
        <v>0</v>
      </c>
      <c r="M122" s="121">
        <f t="shared" si="60"/>
        <v>0</v>
      </c>
      <c r="N122" s="121">
        <f t="shared" si="61"/>
        <v>0</v>
      </c>
      <c r="O122" s="121">
        <f t="shared" si="62"/>
        <v>0</v>
      </c>
      <c r="P122" s="123">
        <f t="shared" si="63"/>
        <v>0</v>
      </c>
    </row>
    <row r="123" spans="1:16" ht="26.4" x14ac:dyDescent="0.2">
      <c r="A123" s="110">
        <v>8</v>
      </c>
      <c r="B123" s="106" t="s">
        <v>60</v>
      </c>
      <c r="C123" s="111" t="s">
        <v>296</v>
      </c>
      <c r="D123" s="106" t="s">
        <v>62</v>
      </c>
      <c r="E123" s="112">
        <v>13.1</v>
      </c>
      <c r="F123" s="120"/>
      <c r="G123" s="121"/>
      <c r="H123" s="122">
        <f>ROUND(F123*G123,2)</f>
        <v>0</v>
      </c>
      <c r="I123" s="121"/>
      <c r="J123" s="121"/>
      <c r="K123" s="179">
        <f t="shared" si="58"/>
        <v>0</v>
      </c>
      <c r="L123" s="184">
        <f t="shared" si="59"/>
        <v>0</v>
      </c>
      <c r="M123" s="121">
        <f t="shared" si="60"/>
        <v>0</v>
      </c>
      <c r="N123" s="121">
        <f t="shared" si="61"/>
        <v>0</v>
      </c>
      <c r="O123" s="121">
        <f t="shared" si="62"/>
        <v>0</v>
      </c>
      <c r="P123" s="123">
        <f t="shared" si="63"/>
        <v>0</v>
      </c>
    </row>
    <row r="124" spans="1:16" ht="26.4" x14ac:dyDescent="0.2">
      <c r="A124" s="110">
        <v>9</v>
      </c>
      <c r="B124" s="106" t="s">
        <v>60</v>
      </c>
      <c r="C124" s="111" t="s">
        <v>244</v>
      </c>
      <c r="D124" s="106" t="s">
        <v>64</v>
      </c>
      <c r="E124" s="154">
        <v>2</v>
      </c>
      <c r="F124" s="120"/>
      <c r="G124" s="121"/>
      <c r="H124" s="122">
        <f>ROUND(F124*G124,2)</f>
        <v>0</v>
      </c>
      <c r="I124" s="121"/>
      <c r="J124" s="121"/>
      <c r="K124" s="179">
        <f t="shared" si="58"/>
        <v>0</v>
      </c>
      <c r="L124" s="184">
        <f t="shared" si="59"/>
        <v>0</v>
      </c>
      <c r="M124" s="121">
        <f t="shared" si="60"/>
        <v>0</v>
      </c>
      <c r="N124" s="121">
        <f t="shared" si="61"/>
        <v>0</v>
      </c>
      <c r="O124" s="121">
        <f t="shared" si="62"/>
        <v>0</v>
      </c>
      <c r="P124" s="123">
        <f t="shared" si="63"/>
        <v>0</v>
      </c>
    </row>
    <row r="125" spans="1:16" ht="13.2" x14ac:dyDescent="0.2">
      <c r="A125" s="140"/>
      <c r="B125" s="107"/>
      <c r="C125" s="141" t="s">
        <v>248</v>
      </c>
      <c r="D125" s="142"/>
      <c r="E125" s="143"/>
      <c r="F125" s="144"/>
      <c r="G125" s="121"/>
      <c r="H125" s="122"/>
      <c r="I125" s="145"/>
      <c r="J125" s="145"/>
      <c r="K125" s="188"/>
      <c r="L125" s="189"/>
      <c r="M125" s="145"/>
      <c r="N125" s="145"/>
      <c r="O125" s="146"/>
      <c r="P125" s="147"/>
    </row>
    <row r="126" spans="1:16" ht="26.4" x14ac:dyDescent="0.2">
      <c r="A126" s="110">
        <v>1</v>
      </c>
      <c r="B126" s="106" t="s">
        <v>60</v>
      </c>
      <c r="C126" s="111" t="s">
        <v>242</v>
      </c>
      <c r="D126" s="106" t="s">
        <v>64</v>
      </c>
      <c r="E126" s="112">
        <v>1</v>
      </c>
      <c r="F126" s="120"/>
      <c r="G126" s="121"/>
      <c r="H126" s="122">
        <f>ROUND(F126*G126,2)</f>
        <v>0</v>
      </c>
      <c r="I126" s="121"/>
      <c r="J126" s="121"/>
      <c r="K126" s="179">
        <f>ROUND(H126+J126+I126,2)</f>
        <v>0</v>
      </c>
      <c r="L126" s="184">
        <f>ROUND(E126*F126,2)</f>
        <v>0</v>
      </c>
      <c r="M126" s="121">
        <f>ROUND(E126*H126,2)</f>
        <v>0</v>
      </c>
      <c r="N126" s="121">
        <f>ROUND(E126*I126,2)</f>
        <v>0</v>
      </c>
      <c r="O126" s="121">
        <f>ROUND(E126*J126,2)</f>
        <v>0</v>
      </c>
      <c r="P126" s="123">
        <f>ROUND(O126+N126+M126,2)</f>
        <v>0</v>
      </c>
    </row>
    <row r="127" spans="1:16" ht="26.4" x14ac:dyDescent="0.2">
      <c r="A127" s="110">
        <v>2</v>
      </c>
      <c r="B127" s="106" t="s">
        <v>60</v>
      </c>
      <c r="C127" s="111" t="s">
        <v>249</v>
      </c>
      <c r="D127" s="106" t="s">
        <v>62</v>
      </c>
      <c r="E127" s="112">
        <v>6</v>
      </c>
      <c r="F127" s="120"/>
      <c r="G127" s="121"/>
      <c r="H127" s="122">
        <f>ROUND(F127*G127,2)</f>
        <v>0</v>
      </c>
      <c r="I127" s="121"/>
      <c r="J127" s="121"/>
      <c r="K127" s="179">
        <f>ROUND(H127+J127+I127,2)</f>
        <v>0</v>
      </c>
      <c r="L127" s="184">
        <f>ROUND(E127*F127,2)</f>
        <v>0</v>
      </c>
      <c r="M127" s="121">
        <f>ROUND(E127*H127,2)</f>
        <v>0</v>
      </c>
      <c r="N127" s="121">
        <f>ROUND(E127*I127,2)</f>
        <v>0</v>
      </c>
      <c r="O127" s="121">
        <f>ROUND(E127*J127,2)</f>
        <v>0</v>
      </c>
      <c r="P127" s="123">
        <f>ROUND(O127+N127+M127,2)</f>
        <v>0</v>
      </c>
    </row>
    <row r="128" spans="1:16" ht="26.4" x14ac:dyDescent="0.2">
      <c r="A128" s="110">
        <v>3</v>
      </c>
      <c r="B128" s="106" t="s">
        <v>60</v>
      </c>
      <c r="C128" s="111" t="s">
        <v>250</v>
      </c>
      <c r="D128" s="106" t="s">
        <v>62</v>
      </c>
      <c r="E128" s="112">
        <v>3.5</v>
      </c>
      <c r="F128" s="120"/>
      <c r="G128" s="121"/>
      <c r="H128" s="122">
        <f>ROUND(F128*G128,2)</f>
        <v>0</v>
      </c>
      <c r="I128" s="121"/>
      <c r="J128" s="121"/>
      <c r="K128" s="179">
        <f>ROUND(H128+J128+I128,2)</f>
        <v>0</v>
      </c>
      <c r="L128" s="184">
        <f>ROUND(E128*F128,2)</f>
        <v>0</v>
      </c>
      <c r="M128" s="121">
        <f>ROUND(E128*H128,2)</f>
        <v>0</v>
      </c>
      <c r="N128" s="121">
        <f>ROUND(E128*I128,2)</f>
        <v>0</v>
      </c>
      <c r="O128" s="121">
        <f>ROUND(E128*J128,2)</f>
        <v>0</v>
      </c>
      <c r="P128" s="123">
        <f>ROUND(O128+N128+M128,2)</f>
        <v>0</v>
      </c>
    </row>
    <row r="129" spans="1:21" ht="39.6" x14ac:dyDescent="0.2">
      <c r="A129" s="110">
        <v>4</v>
      </c>
      <c r="B129" s="106" t="s">
        <v>60</v>
      </c>
      <c r="C129" s="111" t="s">
        <v>251</v>
      </c>
      <c r="D129" s="106" t="s">
        <v>62</v>
      </c>
      <c r="E129" s="112">
        <v>0.8</v>
      </c>
      <c r="F129" s="120"/>
      <c r="G129" s="121"/>
      <c r="H129" s="122">
        <f>ROUND(F129*G129,2)</f>
        <v>0</v>
      </c>
      <c r="I129" s="121"/>
      <c r="J129" s="121"/>
      <c r="K129" s="179">
        <f>ROUND(H129+J129+I129,2)</f>
        <v>0</v>
      </c>
      <c r="L129" s="184">
        <f>ROUND(E129*F129,2)</f>
        <v>0</v>
      </c>
      <c r="M129" s="121">
        <f>ROUND(E129*H129,2)</f>
        <v>0</v>
      </c>
      <c r="N129" s="121">
        <f>ROUND(E129*I129,2)</f>
        <v>0</v>
      </c>
      <c r="O129" s="121">
        <f>ROUND(E129*J129,2)</f>
        <v>0</v>
      </c>
      <c r="P129" s="123">
        <f>ROUND(O129+N129+M129,2)</f>
        <v>0</v>
      </c>
    </row>
    <row r="130" spans="1:21" ht="26.4" x14ac:dyDescent="0.2">
      <c r="A130" s="110">
        <v>5</v>
      </c>
      <c r="B130" s="106" t="s">
        <v>60</v>
      </c>
      <c r="C130" s="111" t="s">
        <v>296</v>
      </c>
      <c r="D130" s="106" t="s">
        <v>62</v>
      </c>
      <c r="E130" s="112">
        <v>13.1</v>
      </c>
      <c r="F130" s="120"/>
      <c r="G130" s="121"/>
      <c r="H130" s="122">
        <f>ROUND(F130*G130,2)</f>
        <v>0</v>
      </c>
      <c r="I130" s="121"/>
      <c r="J130" s="121"/>
      <c r="K130" s="179">
        <f>ROUND(H130+J130+I130,2)</f>
        <v>0</v>
      </c>
      <c r="L130" s="184">
        <f>ROUND(E130*F130,2)</f>
        <v>0</v>
      </c>
      <c r="M130" s="121">
        <f>ROUND(E130*H130,2)</f>
        <v>0</v>
      </c>
      <c r="N130" s="121">
        <f>ROUND(E130*I130,2)</f>
        <v>0</v>
      </c>
      <c r="O130" s="121">
        <f>ROUND(E130*J130,2)</f>
        <v>0</v>
      </c>
      <c r="P130" s="123">
        <f>ROUND(O130+N130+M130,2)</f>
        <v>0</v>
      </c>
    </row>
    <row r="131" spans="1:21" ht="39.6" x14ac:dyDescent="0.2">
      <c r="A131" s="140"/>
      <c r="B131" s="107"/>
      <c r="C131" s="141" t="s">
        <v>252</v>
      </c>
      <c r="D131" s="142" t="s">
        <v>68</v>
      </c>
      <c r="E131" s="143">
        <v>45</v>
      </c>
      <c r="F131" s="144"/>
      <c r="G131" s="121"/>
      <c r="H131" s="122"/>
      <c r="I131" s="145"/>
      <c r="J131" s="145"/>
      <c r="K131" s="188"/>
      <c r="L131" s="189"/>
      <c r="M131" s="145"/>
      <c r="N131" s="145"/>
      <c r="O131" s="146"/>
      <c r="P131" s="147"/>
    </row>
    <row r="132" spans="1:21" ht="79.2" x14ac:dyDescent="0.2">
      <c r="A132" s="110">
        <v>1</v>
      </c>
      <c r="B132" s="106" t="s">
        <v>60</v>
      </c>
      <c r="C132" s="111" t="s">
        <v>299</v>
      </c>
      <c r="D132" s="106" t="s">
        <v>68</v>
      </c>
      <c r="E132" s="112">
        <f>E131</f>
        <v>45</v>
      </c>
      <c r="F132" s="120"/>
      <c r="G132" s="121"/>
      <c r="H132" s="122">
        <f>ROUND(F132*G132,2)</f>
        <v>0</v>
      </c>
      <c r="I132" s="121"/>
      <c r="J132" s="121"/>
      <c r="K132" s="179">
        <f t="shared" ref="K132:K150" si="64">ROUND(H132+J132+I132,2)</f>
        <v>0</v>
      </c>
      <c r="L132" s="184">
        <f t="shared" ref="L132:L150" si="65">ROUND(E132*F132,2)</f>
        <v>0</v>
      </c>
      <c r="M132" s="121">
        <f t="shared" ref="M132:M150" si="66">ROUND(E132*H132,2)</f>
        <v>0</v>
      </c>
      <c r="N132" s="121">
        <f t="shared" ref="N132:N150" si="67">ROUND(E132*I132,2)</f>
        <v>0</v>
      </c>
      <c r="O132" s="121">
        <f t="shared" ref="O132:O150" si="68">ROUND(E132*J132,2)</f>
        <v>0</v>
      </c>
      <c r="P132" s="123">
        <f t="shared" ref="P132:P150" si="69">ROUND(O132+N132+M132,2)</f>
        <v>0</v>
      </c>
      <c r="Q132" s="290"/>
      <c r="R132" s="291"/>
      <c r="S132" s="291"/>
      <c r="T132" s="291"/>
      <c r="U132" s="291"/>
    </row>
    <row r="133" spans="1:21" ht="26.4" x14ac:dyDescent="0.2">
      <c r="A133" s="110">
        <v>2</v>
      </c>
      <c r="B133" s="106" t="s">
        <v>60</v>
      </c>
      <c r="C133" s="100" t="s">
        <v>253</v>
      </c>
      <c r="D133" s="106" t="s">
        <v>73</v>
      </c>
      <c r="E133" s="112">
        <v>41.48</v>
      </c>
      <c r="F133" s="120"/>
      <c r="G133" s="121"/>
      <c r="H133" s="122">
        <f t="shared" ref="H133" si="70">ROUND(F133*G133,2)</f>
        <v>0</v>
      </c>
      <c r="I133" s="121"/>
      <c r="J133" s="121"/>
      <c r="K133" s="179">
        <f t="shared" si="64"/>
        <v>0</v>
      </c>
      <c r="L133" s="184">
        <f t="shared" si="65"/>
        <v>0</v>
      </c>
      <c r="M133" s="121">
        <f t="shared" si="66"/>
        <v>0</v>
      </c>
      <c r="N133" s="121">
        <f t="shared" si="67"/>
        <v>0</v>
      </c>
      <c r="O133" s="121">
        <f t="shared" si="68"/>
        <v>0</v>
      </c>
      <c r="P133" s="123">
        <f t="shared" si="69"/>
        <v>0</v>
      </c>
      <c r="Q133" s="290"/>
      <c r="R133" s="291"/>
      <c r="S133" s="291"/>
      <c r="T133" s="291"/>
      <c r="U133" s="291"/>
    </row>
    <row r="134" spans="1:21" ht="52.8" x14ac:dyDescent="0.2">
      <c r="A134" s="110">
        <v>3</v>
      </c>
      <c r="B134" s="106" t="s">
        <v>60</v>
      </c>
      <c r="C134" s="111" t="s">
        <v>300</v>
      </c>
      <c r="D134" s="106" t="s">
        <v>73</v>
      </c>
      <c r="E134" s="112">
        <f>23*5.94*1+22*(5.9+0.45)*1</f>
        <v>276.32000000000005</v>
      </c>
      <c r="F134" s="120"/>
      <c r="G134" s="121"/>
      <c r="H134" s="122">
        <f>ROUND(F134*G134,2)</f>
        <v>0</v>
      </c>
      <c r="I134" s="121"/>
      <c r="J134" s="121"/>
      <c r="K134" s="179">
        <f t="shared" si="64"/>
        <v>0</v>
      </c>
      <c r="L134" s="184">
        <f t="shared" si="65"/>
        <v>0</v>
      </c>
      <c r="M134" s="121">
        <f t="shared" si="66"/>
        <v>0</v>
      </c>
      <c r="N134" s="121">
        <f t="shared" si="67"/>
        <v>0</v>
      </c>
      <c r="O134" s="121">
        <f t="shared" si="68"/>
        <v>0</v>
      </c>
      <c r="P134" s="123">
        <f t="shared" si="69"/>
        <v>0</v>
      </c>
      <c r="Q134" s="290"/>
      <c r="R134" s="291"/>
      <c r="S134" s="291"/>
      <c r="T134" s="291"/>
      <c r="U134" s="291"/>
    </row>
    <row r="135" spans="1:21" ht="13.2" x14ac:dyDescent="0.2">
      <c r="A135" s="110">
        <v>4</v>
      </c>
      <c r="B135" s="106"/>
      <c r="C135" s="99" t="s">
        <v>301</v>
      </c>
      <c r="D135" s="106" t="s">
        <v>73</v>
      </c>
      <c r="E135" s="112">
        <f>E131*6*0.15*1.1</f>
        <v>44.550000000000004</v>
      </c>
      <c r="F135" s="120"/>
      <c r="G135" s="121"/>
      <c r="H135" s="122"/>
      <c r="I135" s="121"/>
      <c r="J135" s="121"/>
      <c r="K135" s="179">
        <f t="shared" si="64"/>
        <v>0</v>
      </c>
      <c r="L135" s="184">
        <f t="shared" si="65"/>
        <v>0</v>
      </c>
      <c r="M135" s="121">
        <f t="shared" si="66"/>
        <v>0</v>
      </c>
      <c r="N135" s="121">
        <f t="shared" si="67"/>
        <v>0</v>
      </c>
      <c r="O135" s="121">
        <f t="shared" si="68"/>
        <v>0</v>
      </c>
      <c r="P135" s="123">
        <f t="shared" si="69"/>
        <v>0</v>
      </c>
      <c r="Q135" s="290"/>
      <c r="R135" s="291"/>
      <c r="S135" s="291"/>
      <c r="T135" s="291"/>
      <c r="U135" s="291"/>
    </row>
    <row r="136" spans="1:21" ht="26.4" x14ac:dyDescent="0.2">
      <c r="A136" s="110">
        <v>5</v>
      </c>
      <c r="B136" s="106"/>
      <c r="C136" s="99" t="s">
        <v>287</v>
      </c>
      <c r="D136" s="106" t="s">
        <v>89</v>
      </c>
      <c r="E136" s="112">
        <f>E134*1.05*0.15</f>
        <v>43.520400000000009</v>
      </c>
      <c r="F136" s="120"/>
      <c r="G136" s="121"/>
      <c r="H136" s="122"/>
      <c r="I136" s="121"/>
      <c r="J136" s="121"/>
      <c r="K136" s="179">
        <f t="shared" si="64"/>
        <v>0</v>
      </c>
      <c r="L136" s="184">
        <f t="shared" si="65"/>
        <v>0</v>
      </c>
      <c r="M136" s="121">
        <f t="shared" si="66"/>
        <v>0</v>
      </c>
      <c r="N136" s="121">
        <f t="shared" si="67"/>
        <v>0</v>
      </c>
      <c r="O136" s="121">
        <f t="shared" si="68"/>
        <v>0</v>
      </c>
      <c r="P136" s="123">
        <f t="shared" si="69"/>
        <v>0</v>
      </c>
      <c r="Q136" s="290"/>
      <c r="R136" s="291"/>
      <c r="S136" s="291"/>
      <c r="T136" s="291"/>
      <c r="U136" s="291"/>
    </row>
    <row r="137" spans="1:21" ht="13.2" x14ac:dyDescent="0.2">
      <c r="A137" s="110">
        <v>6</v>
      </c>
      <c r="B137" s="106"/>
      <c r="C137" s="99" t="s">
        <v>254</v>
      </c>
      <c r="D137" s="106" t="s">
        <v>62</v>
      </c>
      <c r="E137" s="112">
        <f>E131*6*6</f>
        <v>1620</v>
      </c>
      <c r="F137" s="120"/>
      <c r="G137" s="121"/>
      <c r="H137" s="122"/>
      <c r="I137" s="121"/>
      <c r="J137" s="121"/>
      <c r="K137" s="179">
        <f t="shared" si="64"/>
        <v>0</v>
      </c>
      <c r="L137" s="184">
        <f t="shared" si="65"/>
        <v>0</v>
      </c>
      <c r="M137" s="121">
        <f t="shared" si="66"/>
        <v>0</v>
      </c>
      <c r="N137" s="121">
        <f t="shared" si="67"/>
        <v>0</v>
      </c>
      <c r="O137" s="121">
        <f t="shared" si="68"/>
        <v>0</v>
      </c>
      <c r="P137" s="123">
        <f t="shared" si="69"/>
        <v>0</v>
      </c>
      <c r="Q137" s="290"/>
      <c r="R137" s="291"/>
      <c r="S137" s="291"/>
      <c r="T137" s="291"/>
      <c r="U137" s="291"/>
    </row>
    <row r="138" spans="1:21" ht="13.2" x14ac:dyDescent="0.2">
      <c r="A138" s="110">
        <v>7</v>
      </c>
      <c r="B138" s="106"/>
      <c r="C138" s="99" t="s">
        <v>127</v>
      </c>
      <c r="D138" s="106" t="s">
        <v>99</v>
      </c>
      <c r="E138" s="112">
        <f>E134*5*1.1</f>
        <v>1519.7600000000004</v>
      </c>
      <c r="F138" s="120"/>
      <c r="G138" s="121"/>
      <c r="H138" s="122"/>
      <c r="I138" s="121"/>
      <c r="J138" s="121"/>
      <c r="K138" s="179">
        <f t="shared" si="64"/>
        <v>0</v>
      </c>
      <c r="L138" s="184">
        <f t="shared" si="65"/>
        <v>0</v>
      </c>
      <c r="M138" s="121">
        <f t="shared" si="66"/>
        <v>0</v>
      </c>
      <c r="N138" s="121">
        <f t="shared" si="67"/>
        <v>0</v>
      </c>
      <c r="O138" s="121">
        <f t="shared" si="68"/>
        <v>0</v>
      </c>
      <c r="P138" s="123">
        <f t="shared" si="69"/>
        <v>0</v>
      </c>
      <c r="Q138" s="290"/>
      <c r="R138" s="291"/>
      <c r="S138" s="291"/>
      <c r="T138" s="291"/>
      <c r="U138" s="291"/>
    </row>
    <row r="139" spans="1:21" ht="13.2" x14ac:dyDescent="0.2">
      <c r="A139" s="110">
        <v>8</v>
      </c>
      <c r="B139" s="106"/>
      <c r="C139" s="99" t="s">
        <v>255</v>
      </c>
      <c r="D139" s="106" t="s">
        <v>62</v>
      </c>
      <c r="E139" s="112">
        <f>46.2*1.1</f>
        <v>50.820000000000007</v>
      </c>
      <c r="F139" s="120"/>
      <c r="G139" s="121"/>
      <c r="H139" s="122"/>
      <c r="I139" s="121"/>
      <c r="J139" s="121"/>
      <c r="K139" s="179">
        <f t="shared" si="64"/>
        <v>0</v>
      </c>
      <c r="L139" s="184">
        <f t="shared" si="65"/>
        <v>0</v>
      </c>
      <c r="M139" s="121">
        <f t="shared" si="66"/>
        <v>0</v>
      </c>
      <c r="N139" s="121">
        <f t="shared" si="67"/>
        <v>0</v>
      </c>
      <c r="O139" s="121">
        <f t="shared" si="68"/>
        <v>0</v>
      </c>
      <c r="P139" s="123">
        <f t="shared" si="69"/>
        <v>0</v>
      </c>
      <c r="Q139" s="290"/>
      <c r="R139" s="291"/>
      <c r="S139" s="291"/>
      <c r="T139" s="291"/>
      <c r="U139" s="291"/>
    </row>
    <row r="140" spans="1:21" ht="13.2" x14ac:dyDescent="0.2">
      <c r="A140" s="110">
        <v>9</v>
      </c>
      <c r="B140" s="106"/>
      <c r="C140" s="99" t="s">
        <v>256</v>
      </c>
      <c r="D140" s="106" t="s">
        <v>64</v>
      </c>
      <c r="E140" s="112">
        <v>154</v>
      </c>
      <c r="F140" s="120"/>
      <c r="G140" s="121"/>
      <c r="H140" s="122"/>
      <c r="I140" s="121"/>
      <c r="J140" s="121"/>
      <c r="K140" s="179">
        <f t="shared" si="64"/>
        <v>0</v>
      </c>
      <c r="L140" s="184">
        <f t="shared" si="65"/>
        <v>0</v>
      </c>
      <c r="M140" s="121">
        <f t="shared" si="66"/>
        <v>0</v>
      </c>
      <c r="N140" s="121">
        <f t="shared" si="67"/>
        <v>0</v>
      </c>
      <c r="O140" s="121">
        <f t="shared" si="68"/>
        <v>0</v>
      </c>
      <c r="P140" s="123">
        <f t="shared" si="69"/>
        <v>0</v>
      </c>
      <c r="Q140" s="290"/>
      <c r="R140" s="291"/>
      <c r="S140" s="291"/>
      <c r="T140" s="291"/>
      <c r="U140" s="291"/>
    </row>
    <row r="141" spans="1:21" ht="13.2" x14ac:dyDescent="0.2">
      <c r="A141" s="110">
        <v>10</v>
      </c>
      <c r="B141" s="106"/>
      <c r="C141" s="99" t="s">
        <v>257</v>
      </c>
      <c r="D141" s="106" t="s">
        <v>64</v>
      </c>
      <c r="E141" s="112">
        <v>308</v>
      </c>
      <c r="F141" s="120"/>
      <c r="G141" s="121"/>
      <c r="H141" s="122"/>
      <c r="I141" s="121"/>
      <c r="J141" s="121"/>
      <c r="K141" s="179">
        <f t="shared" si="64"/>
        <v>0</v>
      </c>
      <c r="L141" s="184">
        <f t="shared" si="65"/>
        <v>0</v>
      </c>
      <c r="M141" s="121">
        <f t="shared" si="66"/>
        <v>0</v>
      </c>
      <c r="N141" s="121">
        <f t="shared" si="67"/>
        <v>0</v>
      </c>
      <c r="O141" s="121">
        <f t="shared" si="68"/>
        <v>0</v>
      </c>
      <c r="P141" s="123">
        <f t="shared" si="69"/>
        <v>0</v>
      </c>
      <c r="Q141" s="290"/>
      <c r="R141" s="291"/>
      <c r="S141" s="291"/>
      <c r="T141" s="291"/>
      <c r="U141" s="291"/>
    </row>
    <row r="142" spans="1:21" ht="13.2" x14ac:dyDescent="0.2">
      <c r="A142" s="110">
        <v>11</v>
      </c>
      <c r="B142" s="106"/>
      <c r="C142" s="99" t="s">
        <v>258</v>
      </c>
      <c r="D142" s="106" t="s">
        <v>259</v>
      </c>
      <c r="E142" s="112">
        <f>E140</f>
        <v>154</v>
      </c>
      <c r="F142" s="120"/>
      <c r="G142" s="121"/>
      <c r="H142" s="122"/>
      <c r="I142" s="121"/>
      <c r="J142" s="121"/>
      <c r="K142" s="179">
        <f t="shared" si="64"/>
        <v>0</v>
      </c>
      <c r="L142" s="184">
        <f t="shared" si="65"/>
        <v>0</v>
      </c>
      <c r="M142" s="121">
        <f t="shared" si="66"/>
        <v>0</v>
      </c>
      <c r="N142" s="121">
        <f t="shared" si="67"/>
        <v>0</v>
      </c>
      <c r="O142" s="121">
        <f t="shared" si="68"/>
        <v>0</v>
      </c>
      <c r="P142" s="123">
        <f t="shared" si="69"/>
        <v>0</v>
      </c>
      <c r="Q142" s="290"/>
      <c r="R142" s="291"/>
      <c r="S142" s="291"/>
      <c r="T142" s="291"/>
      <c r="U142" s="291"/>
    </row>
    <row r="143" spans="1:21" ht="13.2" x14ac:dyDescent="0.2">
      <c r="A143" s="110">
        <v>12</v>
      </c>
      <c r="B143" s="106"/>
      <c r="C143" s="99" t="s">
        <v>119</v>
      </c>
      <c r="D143" s="106" t="s">
        <v>68</v>
      </c>
      <c r="E143" s="112">
        <f>E132</f>
        <v>45</v>
      </c>
      <c r="F143" s="120"/>
      <c r="G143" s="121"/>
      <c r="H143" s="122"/>
      <c r="I143" s="121"/>
      <c r="J143" s="121"/>
      <c r="K143" s="179">
        <f t="shared" si="64"/>
        <v>0</v>
      </c>
      <c r="L143" s="184">
        <f t="shared" si="65"/>
        <v>0</v>
      </c>
      <c r="M143" s="121">
        <f t="shared" si="66"/>
        <v>0</v>
      </c>
      <c r="N143" s="121">
        <f t="shared" si="67"/>
        <v>0</v>
      </c>
      <c r="O143" s="121">
        <f t="shared" si="68"/>
        <v>0</v>
      </c>
      <c r="P143" s="123">
        <f t="shared" si="69"/>
        <v>0</v>
      </c>
      <c r="Q143" s="290"/>
      <c r="R143" s="291"/>
      <c r="S143" s="291"/>
      <c r="T143" s="291"/>
      <c r="U143" s="291"/>
    </row>
    <row r="144" spans="1:21" ht="13.2" x14ac:dyDescent="0.2">
      <c r="A144" s="110">
        <v>13</v>
      </c>
      <c r="B144" s="106" t="s">
        <v>60</v>
      </c>
      <c r="C144" s="111" t="s">
        <v>260</v>
      </c>
      <c r="D144" s="106" t="s">
        <v>73</v>
      </c>
      <c r="E144" s="112">
        <f>E134+20.69</f>
        <v>297.01000000000005</v>
      </c>
      <c r="F144" s="120"/>
      <c r="G144" s="121"/>
      <c r="H144" s="122">
        <f>ROUND(F144*G144,2)</f>
        <v>0</v>
      </c>
      <c r="I144" s="121"/>
      <c r="J144" s="121"/>
      <c r="K144" s="179">
        <f t="shared" si="64"/>
        <v>0</v>
      </c>
      <c r="L144" s="184">
        <f t="shared" si="65"/>
        <v>0</v>
      </c>
      <c r="M144" s="121">
        <f t="shared" si="66"/>
        <v>0</v>
      </c>
      <c r="N144" s="121">
        <f t="shared" si="67"/>
        <v>0</v>
      </c>
      <c r="O144" s="121">
        <f t="shared" si="68"/>
        <v>0</v>
      </c>
      <c r="P144" s="123">
        <f t="shared" si="69"/>
        <v>0</v>
      </c>
      <c r="Q144" s="290"/>
      <c r="R144" s="291"/>
      <c r="S144" s="291"/>
      <c r="T144" s="291"/>
      <c r="U144" s="291"/>
    </row>
    <row r="145" spans="1:21" ht="13.2" x14ac:dyDescent="0.2">
      <c r="A145" s="110">
        <v>14</v>
      </c>
      <c r="B145" s="106"/>
      <c r="C145" s="99" t="s">
        <v>98</v>
      </c>
      <c r="D145" s="106" t="s">
        <v>96</v>
      </c>
      <c r="E145" s="112">
        <f>E144*0.12</f>
        <v>35.641200000000005</v>
      </c>
      <c r="F145" s="120"/>
      <c r="G145" s="121"/>
      <c r="H145" s="122"/>
      <c r="I145" s="121"/>
      <c r="J145" s="121"/>
      <c r="K145" s="179">
        <f t="shared" si="64"/>
        <v>0</v>
      </c>
      <c r="L145" s="184">
        <f t="shared" si="65"/>
        <v>0</v>
      </c>
      <c r="M145" s="121">
        <f t="shared" si="66"/>
        <v>0</v>
      </c>
      <c r="N145" s="121">
        <f t="shared" si="67"/>
        <v>0</v>
      </c>
      <c r="O145" s="121">
        <f t="shared" si="68"/>
        <v>0</v>
      </c>
      <c r="P145" s="123">
        <f t="shared" si="69"/>
        <v>0</v>
      </c>
      <c r="Q145" s="290"/>
      <c r="R145" s="291"/>
      <c r="S145" s="291"/>
      <c r="T145" s="291"/>
      <c r="U145" s="291"/>
    </row>
    <row r="146" spans="1:21" ht="26.4" x14ac:dyDescent="0.2">
      <c r="A146" s="110">
        <v>15</v>
      </c>
      <c r="B146" s="106"/>
      <c r="C146" s="99" t="s">
        <v>108</v>
      </c>
      <c r="D146" s="106" t="s">
        <v>109</v>
      </c>
      <c r="E146" s="152">
        <f>E144*5</f>
        <v>1485.0500000000002</v>
      </c>
      <c r="F146" s="120"/>
      <c r="G146" s="121"/>
      <c r="H146" s="122"/>
      <c r="I146" s="121"/>
      <c r="J146" s="121"/>
      <c r="K146" s="179">
        <f t="shared" si="64"/>
        <v>0</v>
      </c>
      <c r="L146" s="184">
        <f t="shared" si="65"/>
        <v>0</v>
      </c>
      <c r="M146" s="121">
        <f t="shared" si="66"/>
        <v>0</v>
      </c>
      <c r="N146" s="121">
        <f t="shared" si="67"/>
        <v>0</v>
      </c>
      <c r="O146" s="121">
        <f t="shared" si="68"/>
        <v>0</v>
      </c>
      <c r="P146" s="123">
        <f t="shared" si="69"/>
        <v>0</v>
      </c>
      <c r="Q146" s="290"/>
      <c r="R146" s="291"/>
      <c r="S146" s="291"/>
      <c r="T146" s="291"/>
      <c r="U146" s="291"/>
    </row>
    <row r="147" spans="1:21" ht="13.2" x14ac:dyDescent="0.2">
      <c r="A147" s="110">
        <v>16</v>
      </c>
      <c r="B147" s="106"/>
      <c r="C147" s="99" t="s">
        <v>101</v>
      </c>
      <c r="D147" s="106" t="s">
        <v>73</v>
      </c>
      <c r="E147" s="112">
        <f>E144*1.2</f>
        <v>356.41200000000003</v>
      </c>
      <c r="F147" s="120"/>
      <c r="G147" s="121"/>
      <c r="H147" s="122"/>
      <c r="I147" s="121"/>
      <c r="J147" s="121"/>
      <c r="K147" s="179">
        <f t="shared" ref="K147" si="71">ROUND(H147+J147+I147,2)</f>
        <v>0</v>
      </c>
      <c r="L147" s="184">
        <f t="shared" ref="L147" si="72">ROUND(E147*F147,2)</f>
        <v>0</v>
      </c>
      <c r="M147" s="121">
        <f t="shared" ref="M147" si="73">ROUND(E147*H147,2)</f>
        <v>0</v>
      </c>
      <c r="N147" s="121">
        <f t="shared" ref="N147" si="74">ROUND(E147*I147,2)</f>
        <v>0</v>
      </c>
      <c r="O147" s="121">
        <f t="shared" ref="O147" si="75">ROUND(E147*J147,2)</f>
        <v>0</v>
      </c>
      <c r="P147" s="123">
        <f t="shared" ref="P147" si="76">ROUND(O147+N147+M147,2)</f>
        <v>0</v>
      </c>
      <c r="Q147" s="290"/>
      <c r="R147" s="291"/>
      <c r="S147" s="291"/>
      <c r="T147" s="291"/>
      <c r="U147" s="291"/>
    </row>
    <row r="148" spans="1:21" ht="13.2" x14ac:dyDescent="0.2">
      <c r="A148" s="110">
        <v>20</v>
      </c>
      <c r="B148" s="106" t="s">
        <v>60</v>
      </c>
      <c r="C148" s="100" t="s">
        <v>261</v>
      </c>
      <c r="D148" s="106" t="s">
        <v>73</v>
      </c>
      <c r="E148" s="112">
        <f>E144</f>
        <v>297.01000000000005</v>
      </c>
      <c r="F148" s="120"/>
      <c r="G148" s="121"/>
      <c r="H148" s="122">
        <f t="shared" ref="H148" si="77">ROUND(F148*G148,2)</f>
        <v>0</v>
      </c>
      <c r="I148" s="121"/>
      <c r="J148" s="121"/>
      <c r="K148" s="179">
        <f t="shared" si="64"/>
        <v>0</v>
      </c>
      <c r="L148" s="184">
        <f t="shared" si="65"/>
        <v>0</v>
      </c>
      <c r="M148" s="121">
        <f t="shared" si="66"/>
        <v>0</v>
      </c>
      <c r="N148" s="121">
        <f t="shared" si="67"/>
        <v>0</v>
      </c>
      <c r="O148" s="121">
        <f t="shared" si="68"/>
        <v>0</v>
      </c>
      <c r="P148" s="123">
        <f t="shared" si="69"/>
        <v>0</v>
      </c>
      <c r="Q148" s="290"/>
      <c r="R148" s="291"/>
      <c r="S148" s="291"/>
      <c r="T148" s="291"/>
      <c r="U148" s="291"/>
    </row>
    <row r="149" spans="1:21" ht="13.2" x14ac:dyDescent="0.2">
      <c r="A149" s="110">
        <v>21</v>
      </c>
      <c r="B149" s="106"/>
      <c r="C149" s="99" t="s">
        <v>262</v>
      </c>
      <c r="D149" s="106" t="s">
        <v>96</v>
      </c>
      <c r="E149" s="112">
        <f>E148*0.17</f>
        <v>50.491700000000009</v>
      </c>
      <c r="F149" s="120"/>
      <c r="G149" s="121"/>
      <c r="H149" s="122"/>
      <c r="I149" s="121"/>
      <c r="J149" s="121"/>
      <c r="K149" s="179">
        <f t="shared" si="64"/>
        <v>0</v>
      </c>
      <c r="L149" s="184">
        <f t="shared" si="65"/>
        <v>0</v>
      </c>
      <c r="M149" s="121">
        <f t="shared" si="66"/>
        <v>0</v>
      </c>
      <c r="N149" s="121">
        <f t="shared" si="67"/>
        <v>0</v>
      </c>
      <c r="O149" s="121">
        <f t="shared" si="68"/>
        <v>0</v>
      </c>
      <c r="P149" s="123">
        <f t="shared" si="69"/>
        <v>0</v>
      </c>
      <c r="Q149" s="290"/>
      <c r="R149" s="291"/>
      <c r="S149" s="291"/>
      <c r="T149" s="291"/>
      <c r="U149" s="291"/>
    </row>
    <row r="150" spans="1:21" ht="13.2" x14ac:dyDescent="0.2">
      <c r="A150" s="110">
        <v>22</v>
      </c>
      <c r="B150" s="106"/>
      <c r="C150" s="99" t="s">
        <v>263</v>
      </c>
      <c r="D150" s="106" t="s">
        <v>96</v>
      </c>
      <c r="E150" s="152">
        <f>E148*0.12*2*1.05</f>
        <v>74.846520000000012</v>
      </c>
      <c r="F150" s="120"/>
      <c r="G150" s="121"/>
      <c r="H150" s="122"/>
      <c r="I150" s="121"/>
      <c r="J150" s="121"/>
      <c r="K150" s="179">
        <f t="shared" si="64"/>
        <v>0</v>
      </c>
      <c r="L150" s="184">
        <f t="shared" si="65"/>
        <v>0</v>
      </c>
      <c r="M150" s="121">
        <f t="shared" si="66"/>
        <v>0</v>
      </c>
      <c r="N150" s="121">
        <f t="shared" si="67"/>
        <v>0</v>
      </c>
      <c r="O150" s="121">
        <f t="shared" si="68"/>
        <v>0</v>
      </c>
      <c r="P150" s="123">
        <f t="shared" si="69"/>
        <v>0</v>
      </c>
      <c r="Q150" s="290"/>
      <c r="R150" s="291"/>
      <c r="S150" s="291"/>
      <c r="T150" s="291"/>
      <c r="U150" s="291"/>
    </row>
    <row r="151" spans="1:21" ht="13.2" x14ac:dyDescent="0.2">
      <c r="A151" s="110">
        <v>23</v>
      </c>
      <c r="B151" s="106" t="s">
        <v>60</v>
      </c>
      <c r="C151" s="100" t="s">
        <v>264</v>
      </c>
      <c r="D151" s="106" t="s">
        <v>62</v>
      </c>
      <c r="E151" s="112">
        <v>276.55</v>
      </c>
      <c r="F151" s="120"/>
      <c r="G151" s="121"/>
      <c r="H151" s="122">
        <f t="shared" ref="H151" si="78">ROUND(F151*G151,2)</f>
        <v>0</v>
      </c>
      <c r="I151" s="121"/>
      <c r="J151" s="121"/>
      <c r="K151" s="179">
        <f>ROUND(H151+J151+I151,2)</f>
        <v>0</v>
      </c>
      <c r="L151" s="184">
        <f>ROUND(E151*F151,2)</f>
        <v>0</v>
      </c>
      <c r="M151" s="121">
        <f>ROUND(E151*H151,2)</f>
        <v>0</v>
      </c>
      <c r="N151" s="121">
        <f>ROUND(E151*I151,2)</f>
        <v>0</v>
      </c>
      <c r="O151" s="121">
        <f>ROUND(E151*J151,2)</f>
        <v>0</v>
      </c>
      <c r="P151" s="123">
        <f>ROUND(O151+N151+M151,2)</f>
        <v>0</v>
      </c>
      <c r="Q151" s="290"/>
      <c r="R151" s="291"/>
      <c r="S151" s="291"/>
      <c r="T151" s="291"/>
      <c r="U151" s="291"/>
    </row>
    <row r="152" spans="1:21" ht="39.6" x14ac:dyDescent="0.2">
      <c r="A152" s="140"/>
      <c r="B152" s="107"/>
      <c r="C152" s="141" t="s">
        <v>265</v>
      </c>
      <c r="D152" s="142" t="s">
        <v>68</v>
      </c>
      <c r="E152" s="143"/>
      <c r="F152" s="144"/>
      <c r="G152" s="121"/>
      <c r="H152" s="122"/>
      <c r="I152" s="145"/>
      <c r="J152" s="145"/>
      <c r="K152" s="188"/>
      <c r="L152" s="189"/>
      <c r="M152" s="145"/>
      <c r="N152" s="145"/>
      <c r="O152" s="146"/>
      <c r="P152" s="147"/>
    </row>
    <row r="153" spans="1:21" ht="79.2" x14ac:dyDescent="0.2">
      <c r="A153" s="110">
        <v>1</v>
      </c>
      <c r="B153" s="106" t="s">
        <v>60</v>
      </c>
      <c r="C153" s="111" t="s">
        <v>299</v>
      </c>
      <c r="D153" s="106" t="s">
        <v>68</v>
      </c>
      <c r="E153" s="112">
        <f>11</f>
        <v>11</v>
      </c>
      <c r="F153" s="120"/>
      <c r="G153" s="121"/>
      <c r="H153" s="122">
        <f>ROUND(F153*G153,2)</f>
        <v>0</v>
      </c>
      <c r="I153" s="121"/>
      <c r="J153" s="121"/>
      <c r="K153" s="179">
        <f t="shared" ref="K153:K171" si="79">ROUND(H153+J153+I153,2)</f>
        <v>0</v>
      </c>
      <c r="L153" s="184">
        <f t="shared" ref="L153:L171" si="80">ROUND(E153*F153,2)</f>
        <v>0</v>
      </c>
      <c r="M153" s="121">
        <f t="shared" ref="M153:M171" si="81">ROUND(E153*H153,2)</f>
        <v>0</v>
      </c>
      <c r="N153" s="121">
        <f t="shared" ref="N153:N171" si="82">ROUND(E153*I153,2)</f>
        <v>0</v>
      </c>
      <c r="O153" s="121">
        <f t="shared" ref="O153:O171" si="83">ROUND(E153*J153,2)</f>
        <v>0</v>
      </c>
      <c r="P153" s="123">
        <f t="shared" ref="P153:P171" si="84">ROUND(O153+N153+M153,2)</f>
        <v>0</v>
      </c>
    </row>
    <row r="154" spans="1:21" ht="26.4" x14ac:dyDescent="0.2">
      <c r="A154" s="110">
        <v>2</v>
      </c>
      <c r="B154" s="106" t="s">
        <v>60</v>
      </c>
      <c r="C154" s="100" t="s">
        <v>253</v>
      </c>
      <c r="D154" s="106" t="s">
        <v>73</v>
      </c>
      <c r="E154" s="112">
        <v>10.4</v>
      </c>
      <c r="F154" s="120"/>
      <c r="G154" s="121"/>
      <c r="H154" s="122">
        <f t="shared" ref="H154" si="85">ROUND(F154*G154,2)</f>
        <v>0</v>
      </c>
      <c r="I154" s="121"/>
      <c r="J154" s="121"/>
      <c r="K154" s="179">
        <f t="shared" si="79"/>
        <v>0</v>
      </c>
      <c r="L154" s="184">
        <f t="shared" si="80"/>
        <v>0</v>
      </c>
      <c r="M154" s="121">
        <f t="shared" si="81"/>
        <v>0</v>
      </c>
      <c r="N154" s="121">
        <f t="shared" si="82"/>
        <v>0</v>
      </c>
      <c r="O154" s="121">
        <f t="shared" si="83"/>
        <v>0</v>
      </c>
      <c r="P154" s="123">
        <f t="shared" si="84"/>
        <v>0</v>
      </c>
    </row>
    <row r="155" spans="1:21" ht="52.8" x14ac:dyDescent="0.2">
      <c r="A155" s="110">
        <v>3</v>
      </c>
      <c r="B155" s="106" t="s">
        <v>60</v>
      </c>
      <c r="C155" s="111" t="s">
        <v>300</v>
      </c>
      <c r="D155" s="106" t="s">
        <v>73</v>
      </c>
      <c r="E155" s="112">
        <f>11*(5.9+0.45)*1</f>
        <v>69.850000000000009</v>
      </c>
      <c r="F155" s="120"/>
      <c r="G155" s="121"/>
      <c r="H155" s="122">
        <f>ROUND(F155*G155,2)</f>
        <v>0</v>
      </c>
      <c r="I155" s="121"/>
      <c r="J155" s="121"/>
      <c r="K155" s="179">
        <f t="shared" si="79"/>
        <v>0</v>
      </c>
      <c r="L155" s="184">
        <f t="shared" si="80"/>
        <v>0</v>
      </c>
      <c r="M155" s="121">
        <f t="shared" si="81"/>
        <v>0</v>
      </c>
      <c r="N155" s="121">
        <f t="shared" si="82"/>
        <v>0</v>
      </c>
      <c r="O155" s="121">
        <f t="shared" si="83"/>
        <v>0</v>
      </c>
      <c r="P155" s="123">
        <f t="shared" si="84"/>
        <v>0</v>
      </c>
    </row>
    <row r="156" spans="1:21" ht="13.2" x14ac:dyDescent="0.2">
      <c r="A156" s="110">
        <v>4</v>
      </c>
      <c r="B156" s="106"/>
      <c r="C156" s="99" t="s">
        <v>301</v>
      </c>
      <c r="D156" s="106" t="s">
        <v>73</v>
      </c>
      <c r="E156" s="112">
        <f>11*6*0.15*1.1</f>
        <v>10.89</v>
      </c>
      <c r="F156" s="120"/>
      <c r="G156" s="121"/>
      <c r="H156" s="122"/>
      <c r="I156" s="121"/>
      <c r="J156" s="121"/>
      <c r="K156" s="179">
        <f t="shared" si="79"/>
        <v>0</v>
      </c>
      <c r="L156" s="184">
        <f t="shared" si="80"/>
        <v>0</v>
      </c>
      <c r="M156" s="121">
        <f t="shared" si="81"/>
        <v>0</v>
      </c>
      <c r="N156" s="121">
        <f t="shared" si="82"/>
        <v>0</v>
      </c>
      <c r="O156" s="121">
        <f t="shared" si="83"/>
        <v>0</v>
      </c>
      <c r="P156" s="123">
        <f t="shared" si="84"/>
        <v>0</v>
      </c>
    </row>
    <row r="157" spans="1:21" ht="26.4" x14ac:dyDescent="0.2">
      <c r="A157" s="110">
        <v>5</v>
      </c>
      <c r="B157" s="106"/>
      <c r="C157" s="99" t="s">
        <v>288</v>
      </c>
      <c r="D157" s="106" t="s">
        <v>89</v>
      </c>
      <c r="E157" s="112">
        <f>E155*1.05*0.15</f>
        <v>11.001375000000001</v>
      </c>
      <c r="F157" s="120"/>
      <c r="G157" s="121"/>
      <c r="H157" s="122"/>
      <c r="I157" s="121"/>
      <c r="J157" s="121"/>
      <c r="K157" s="179">
        <f t="shared" si="79"/>
        <v>0</v>
      </c>
      <c r="L157" s="184">
        <f t="shared" si="80"/>
        <v>0</v>
      </c>
      <c r="M157" s="121">
        <f t="shared" si="81"/>
        <v>0</v>
      </c>
      <c r="N157" s="121">
        <f t="shared" si="82"/>
        <v>0</v>
      </c>
      <c r="O157" s="121">
        <f t="shared" si="83"/>
        <v>0</v>
      </c>
      <c r="P157" s="123">
        <f t="shared" si="84"/>
        <v>0</v>
      </c>
    </row>
    <row r="158" spans="1:21" ht="13.2" x14ac:dyDescent="0.2">
      <c r="A158" s="110">
        <v>6</v>
      </c>
      <c r="B158" s="106"/>
      <c r="C158" s="99" t="s">
        <v>254</v>
      </c>
      <c r="D158" s="106" t="s">
        <v>62</v>
      </c>
      <c r="E158" s="112">
        <f>11*6*6</f>
        <v>396</v>
      </c>
      <c r="F158" s="120"/>
      <c r="G158" s="121"/>
      <c r="H158" s="122"/>
      <c r="I158" s="121"/>
      <c r="J158" s="121"/>
      <c r="K158" s="179">
        <f t="shared" si="79"/>
        <v>0</v>
      </c>
      <c r="L158" s="184">
        <f t="shared" si="80"/>
        <v>0</v>
      </c>
      <c r="M158" s="121">
        <f t="shared" si="81"/>
        <v>0</v>
      </c>
      <c r="N158" s="121">
        <f t="shared" si="82"/>
        <v>0</v>
      </c>
      <c r="O158" s="121">
        <f t="shared" si="83"/>
        <v>0</v>
      </c>
      <c r="P158" s="123">
        <f t="shared" si="84"/>
        <v>0</v>
      </c>
    </row>
    <row r="159" spans="1:21" ht="13.2" x14ac:dyDescent="0.2">
      <c r="A159" s="110">
        <v>7</v>
      </c>
      <c r="B159" s="106"/>
      <c r="C159" s="99" t="s">
        <v>127</v>
      </c>
      <c r="D159" s="106" t="s">
        <v>99</v>
      </c>
      <c r="E159" s="112">
        <f>E155*5*1.1</f>
        <v>384.17500000000007</v>
      </c>
      <c r="F159" s="120"/>
      <c r="G159" s="121"/>
      <c r="H159" s="122"/>
      <c r="I159" s="121"/>
      <c r="J159" s="121"/>
      <c r="K159" s="179">
        <f t="shared" si="79"/>
        <v>0</v>
      </c>
      <c r="L159" s="184">
        <f t="shared" si="80"/>
        <v>0</v>
      </c>
      <c r="M159" s="121">
        <f t="shared" si="81"/>
        <v>0</v>
      </c>
      <c r="N159" s="121">
        <f t="shared" si="82"/>
        <v>0</v>
      </c>
      <c r="O159" s="121">
        <f t="shared" si="83"/>
        <v>0</v>
      </c>
      <c r="P159" s="123">
        <f t="shared" si="84"/>
        <v>0</v>
      </c>
    </row>
    <row r="160" spans="1:21" ht="13.2" x14ac:dyDescent="0.2">
      <c r="A160" s="110">
        <v>8</v>
      </c>
      <c r="B160" s="106"/>
      <c r="C160" s="99" t="s">
        <v>255</v>
      </c>
      <c r="D160" s="106" t="s">
        <v>62</v>
      </c>
      <c r="E160" s="112">
        <f>23.1*1.1</f>
        <v>25.410000000000004</v>
      </c>
      <c r="F160" s="120"/>
      <c r="G160" s="121"/>
      <c r="H160" s="122"/>
      <c r="I160" s="121"/>
      <c r="J160" s="121"/>
      <c r="K160" s="179">
        <f t="shared" si="79"/>
        <v>0</v>
      </c>
      <c r="L160" s="184">
        <f t="shared" si="80"/>
        <v>0</v>
      </c>
      <c r="M160" s="121">
        <f t="shared" si="81"/>
        <v>0</v>
      </c>
      <c r="N160" s="121">
        <f t="shared" si="82"/>
        <v>0</v>
      </c>
      <c r="O160" s="121">
        <f t="shared" si="83"/>
        <v>0</v>
      </c>
      <c r="P160" s="123">
        <f t="shared" si="84"/>
        <v>0</v>
      </c>
    </row>
    <row r="161" spans="1:16" ht="13.2" x14ac:dyDescent="0.2">
      <c r="A161" s="110">
        <v>9</v>
      </c>
      <c r="B161" s="106"/>
      <c r="C161" s="99" t="s">
        <v>256</v>
      </c>
      <c r="D161" s="106" t="s">
        <v>64</v>
      </c>
      <c r="E161" s="112">
        <v>77</v>
      </c>
      <c r="F161" s="120"/>
      <c r="G161" s="121"/>
      <c r="H161" s="122"/>
      <c r="I161" s="121"/>
      <c r="J161" s="121"/>
      <c r="K161" s="179">
        <f t="shared" si="79"/>
        <v>0</v>
      </c>
      <c r="L161" s="184">
        <f t="shared" si="80"/>
        <v>0</v>
      </c>
      <c r="M161" s="121">
        <f t="shared" si="81"/>
        <v>0</v>
      </c>
      <c r="N161" s="121">
        <f t="shared" si="82"/>
        <v>0</v>
      </c>
      <c r="O161" s="121">
        <f t="shared" si="83"/>
        <v>0</v>
      </c>
      <c r="P161" s="123">
        <f t="shared" si="84"/>
        <v>0</v>
      </c>
    </row>
    <row r="162" spans="1:16" ht="13.2" x14ac:dyDescent="0.2">
      <c r="A162" s="110">
        <v>10</v>
      </c>
      <c r="B162" s="106"/>
      <c r="C162" s="99" t="s">
        <v>257</v>
      </c>
      <c r="D162" s="106" t="s">
        <v>64</v>
      </c>
      <c r="E162" s="112">
        <v>154</v>
      </c>
      <c r="F162" s="120"/>
      <c r="G162" s="121"/>
      <c r="H162" s="122"/>
      <c r="I162" s="121"/>
      <c r="J162" s="121"/>
      <c r="K162" s="179">
        <f t="shared" si="79"/>
        <v>0</v>
      </c>
      <c r="L162" s="184">
        <f t="shared" si="80"/>
        <v>0</v>
      </c>
      <c r="M162" s="121">
        <f t="shared" si="81"/>
        <v>0</v>
      </c>
      <c r="N162" s="121">
        <f t="shared" si="82"/>
        <v>0</v>
      </c>
      <c r="O162" s="121">
        <f t="shared" si="83"/>
        <v>0</v>
      </c>
      <c r="P162" s="123">
        <f t="shared" si="84"/>
        <v>0</v>
      </c>
    </row>
    <row r="163" spans="1:16" ht="13.2" x14ac:dyDescent="0.2">
      <c r="A163" s="110">
        <v>11</v>
      </c>
      <c r="B163" s="106"/>
      <c r="C163" s="99" t="s">
        <v>258</v>
      </c>
      <c r="D163" s="106" t="s">
        <v>259</v>
      </c>
      <c r="E163" s="112">
        <f>E161</f>
        <v>77</v>
      </c>
      <c r="F163" s="120"/>
      <c r="G163" s="121"/>
      <c r="H163" s="122"/>
      <c r="I163" s="121"/>
      <c r="J163" s="121"/>
      <c r="K163" s="179">
        <f t="shared" si="79"/>
        <v>0</v>
      </c>
      <c r="L163" s="184">
        <f t="shared" si="80"/>
        <v>0</v>
      </c>
      <c r="M163" s="121">
        <f t="shared" si="81"/>
        <v>0</v>
      </c>
      <c r="N163" s="121">
        <f t="shared" si="82"/>
        <v>0</v>
      </c>
      <c r="O163" s="121">
        <f t="shared" si="83"/>
        <v>0</v>
      </c>
      <c r="P163" s="123">
        <f t="shared" si="84"/>
        <v>0</v>
      </c>
    </row>
    <row r="164" spans="1:16" ht="13.2" x14ac:dyDescent="0.2">
      <c r="A164" s="110">
        <v>12</v>
      </c>
      <c r="B164" s="106"/>
      <c r="C164" s="99" t="s">
        <v>119</v>
      </c>
      <c r="D164" s="106" t="s">
        <v>68</v>
      </c>
      <c r="E164" s="112">
        <f>E153</f>
        <v>11</v>
      </c>
      <c r="F164" s="120"/>
      <c r="G164" s="121"/>
      <c r="H164" s="122"/>
      <c r="I164" s="121"/>
      <c r="J164" s="121"/>
      <c r="K164" s="179">
        <f t="shared" si="79"/>
        <v>0</v>
      </c>
      <c r="L164" s="184">
        <f t="shared" si="80"/>
        <v>0</v>
      </c>
      <c r="M164" s="121">
        <f t="shared" si="81"/>
        <v>0</v>
      </c>
      <c r="N164" s="121">
        <f t="shared" si="82"/>
        <v>0</v>
      </c>
      <c r="O164" s="121">
        <f t="shared" si="83"/>
        <v>0</v>
      </c>
      <c r="P164" s="123">
        <f t="shared" si="84"/>
        <v>0</v>
      </c>
    </row>
    <row r="165" spans="1:16" ht="13.2" x14ac:dyDescent="0.2">
      <c r="A165" s="110">
        <v>13</v>
      </c>
      <c r="B165" s="106" t="s">
        <v>60</v>
      </c>
      <c r="C165" s="111" t="s">
        <v>260</v>
      </c>
      <c r="D165" s="106" t="s">
        <v>73</v>
      </c>
      <c r="E165" s="112">
        <f>E155+9.68</f>
        <v>79.53</v>
      </c>
      <c r="F165" s="120"/>
      <c r="G165" s="121"/>
      <c r="H165" s="122">
        <f>ROUND(F165*G165,2)</f>
        <v>0</v>
      </c>
      <c r="I165" s="121"/>
      <c r="J165" s="121"/>
      <c r="K165" s="179">
        <f t="shared" si="79"/>
        <v>0</v>
      </c>
      <c r="L165" s="184">
        <f t="shared" si="80"/>
        <v>0</v>
      </c>
      <c r="M165" s="121">
        <f t="shared" si="81"/>
        <v>0</v>
      </c>
      <c r="N165" s="121">
        <f t="shared" si="82"/>
        <v>0</v>
      </c>
      <c r="O165" s="121">
        <f t="shared" si="83"/>
        <v>0</v>
      </c>
      <c r="P165" s="123">
        <f t="shared" si="84"/>
        <v>0</v>
      </c>
    </row>
    <row r="166" spans="1:16" ht="13.2" x14ac:dyDescent="0.2">
      <c r="A166" s="110">
        <v>14</v>
      </c>
      <c r="B166" s="106"/>
      <c r="C166" s="99" t="s">
        <v>98</v>
      </c>
      <c r="D166" s="106" t="s">
        <v>96</v>
      </c>
      <c r="E166" s="112">
        <f>E165*0.12</f>
        <v>9.5435999999999996</v>
      </c>
      <c r="F166" s="120"/>
      <c r="G166" s="121"/>
      <c r="H166" s="122"/>
      <c r="I166" s="121"/>
      <c r="J166" s="121"/>
      <c r="K166" s="179">
        <f t="shared" si="79"/>
        <v>0</v>
      </c>
      <c r="L166" s="184">
        <f t="shared" si="80"/>
        <v>0</v>
      </c>
      <c r="M166" s="121">
        <f t="shared" si="81"/>
        <v>0</v>
      </c>
      <c r="N166" s="121">
        <f t="shared" si="82"/>
        <v>0</v>
      </c>
      <c r="O166" s="121">
        <f t="shared" si="83"/>
        <v>0</v>
      </c>
      <c r="P166" s="123">
        <f t="shared" si="84"/>
        <v>0</v>
      </c>
    </row>
    <row r="167" spans="1:16" ht="26.4" x14ac:dyDescent="0.2">
      <c r="A167" s="110">
        <v>15</v>
      </c>
      <c r="B167" s="106"/>
      <c r="C167" s="99" t="s">
        <v>108</v>
      </c>
      <c r="D167" s="106" t="s">
        <v>109</v>
      </c>
      <c r="E167" s="152">
        <f>E165*5</f>
        <v>397.65</v>
      </c>
      <c r="F167" s="120"/>
      <c r="G167" s="121"/>
      <c r="H167" s="122"/>
      <c r="I167" s="121"/>
      <c r="J167" s="121"/>
      <c r="K167" s="179">
        <f t="shared" si="79"/>
        <v>0</v>
      </c>
      <c r="L167" s="184">
        <f t="shared" si="80"/>
        <v>0</v>
      </c>
      <c r="M167" s="121">
        <f t="shared" si="81"/>
        <v>0</v>
      </c>
      <c r="N167" s="121">
        <f t="shared" si="82"/>
        <v>0</v>
      </c>
      <c r="O167" s="121">
        <f t="shared" si="83"/>
        <v>0</v>
      </c>
      <c r="P167" s="123">
        <f t="shared" si="84"/>
        <v>0</v>
      </c>
    </row>
    <row r="168" spans="1:16" ht="13.2" x14ac:dyDescent="0.2">
      <c r="A168" s="110">
        <v>16</v>
      </c>
      <c r="B168" s="106"/>
      <c r="C168" s="99" t="s">
        <v>101</v>
      </c>
      <c r="D168" s="106" t="s">
        <v>73</v>
      </c>
      <c r="E168" s="112">
        <f>E165*1.2</f>
        <v>95.435999999999993</v>
      </c>
      <c r="F168" s="120"/>
      <c r="G168" s="121"/>
      <c r="H168" s="122"/>
      <c r="I168" s="121"/>
      <c r="J168" s="121"/>
      <c r="K168" s="179">
        <f t="shared" ref="K168" si="86">ROUND(H168+J168+I168,2)</f>
        <v>0</v>
      </c>
      <c r="L168" s="184">
        <f t="shared" ref="L168" si="87">ROUND(E168*F168,2)</f>
        <v>0</v>
      </c>
      <c r="M168" s="121">
        <f t="shared" ref="M168" si="88">ROUND(E168*H168,2)</f>
        <v>0</v>
      </c>
      <c r="N168" s="121">
        <f t="shared" ref="N168" si="89">ROUND(E168*I168,2)</f>
        <v>0</v>
      </c>
      <c r="O168" s="121">
        <f t="shared" ref="O168" si="90">ROUND(E168*J168,2)</f>
        <v>0</v>
      </c>
      <c r="P168" s="123">
        <f t="shared" ref="P168" si="91">ROUND(O168+N168+M168,2)</f>
        <v>0</v>
      </c>
    </row>
    <row r="169" spans="1:16" ht="13.2" x14ac:dyDescent="0.2">
      <c r="A169" s="110">
        <v>17</v>
      </c>
      <c r="B169" s="106" t="s">
        <v>60</v>
      </c>
      <c r="C169" s="100" t="s">
        <v>261</v>
      </c>
      <c r="D169" s="106" t="s">
        <v>73</v>
      </c>
      <c r="E169" s="112">
        <f>E165</f>
        <v>79.53</v>
      </c>
      <c r="F169" s="120"/>
      <c r="G169" s="121"/>
      <c r="H169" s="122">
        <f t="shared" ref="H169" si="92">ROUND(F169*G169,2)</f>
        <v>0</v>
      </c>
      <c r="I169" s="121"/>
      <c r="J169" s="121"/>
      <c r="K169" s="179">
        <f t="shared" si="79"/>
        <v>0</v>
      </c>
      <c r="L169" s="184">
        <f t="shared" si="80"/>
        <v>0</v>
      </c>
      <c r="M169" s="121">
        <f t="shared" si="81"/>
        <v>0</v>
      </c>
      <c r="N169" s="121">
        <f t="shared" si="82"/>
        <v>0</v>
      </c>
      <c r="O169" s="121">
        <f t="shared" si="83"/>
        <v>0</v>
      </c>
      <c r="P169" s="123">
        <f t="shared" si="84"/>
        <v>0</v>
      </c>
    </row>
    <row r="170" spans="1:16" ht="13.2" x14ac:dyDescent="0.2">
      <c r="A170" s="110">
        <v>18</v>
      </c>
      <c r="B170" s="106"/>
      <c r="C170" s="99" t="s">
        <v>262</v>
      </c>
      <c r="D170" s="106" t="s">
        <v>96</v>
      </c>
      <c r="E170" s="112">
        <f>E169*0.17</f>
        <v>13.520100000000001</v>
      </c>
      <c r="F170" s="120"/>
      <c r="G170" s="121"/>
      <c r="H170" s="122"/>
      <c r="I170" s="121"/>
      <c r="J170" s="121"/>
      <c r="K170" s="179">
        <f t="shared" si="79"/>
        <v>0</v>
      </c>
      <c r="L170" s="184">
        <f t="shared" si="80"/>
        <v>0</v>
      </c>
      <c r="M170" s="121">
        <f t="shared" si="81"/>
        <v>0</v>
      </c>
      <c r="N170" s="121">
        <f t="shared" si="82"/>
        <v>0</v>
      </c>
      <c r="O170" s="121">
        <f t="shared" si="83"/>
        <v>0</v>
      </c>
      <c r="P170" s="123">
        <f t="shared" si="84"/>
        <v>0</v>
      </c>
    </row>
    <row r="171" spans="1:16" ht="13.2" x14ac:dyDescent="0.2">
      <c r="A171" s="110">
        <v>19</v>
      </c>
      <c r="B171" s="106"/>
      <c r="C171" s="99" t="s">
        <v>263</v>
      </c>
      <c r="D171" s="106" t="s">
        <v>96</v>
      </c>
      <c r="E171" s="152">
        <f>E169*0.12*2*1.05</f>
        <v>20.04156</v>
      </c>
      <c r="F171" s="120"/>
      <c r="G171" s="121"/>
      <c r="H171" s="122"/>
      <c r="I171" s="121"/>
      <c r="J171" s="121"/>
      <c r="K171" s="179">
        <f t="shared" si="79"/>
        <v>0</v>
      </c>
      <c r="L171" s="184">
        <f t="shared" si="80"/>
        <v>0</v>
      </c>
      <c r="M171" s="121">
        <f t="shared" si="81"/>
        <v>0</v>
      </c>
      <c r="N171" s="121">
        <f t="shared" si="82"/>
        <v>0</v>
      </c>
      <c r="O171" s="121">
        <f t="shared" si="83"/>
        <v>0</v>
      </c>
      <c r="P171" s="123">
        <f t="shared" si="84"/>
        <v>0</v>
      </c>
    </row>
    <row r="172" spans="1:16" ht="13.2" x14ac:dyDescent="0.2">
      <c r="A172" s="110">
        <v>20</v>
      </c>
      <c r="B172" s="106" t="s">
        <v>60</v>
      </c>
      <c r="C172" s="100" t="s">
        <v>264</v>
      </c>
      <c r="D172" s="106" t="s">
        <v>62</v>
      </c>
      <c r="E172" s="112">
        <v>69.3</v>
      </c>
      <c r="F172" s="120"/>
      <c r="G172" s="121"/>
      <c r="H172" s="122">
        <f t="shared" ref="H172" si="93">ROUND(F172*G172,2)</f>
        <v>0</v>
      </c>
      <c r="I172" s="121"/>
      <c r="J172" s="121"/>
      <c r="K172" s="179">
        <f>ROUND(H172+J172+I172,2)</f>
        <v>0</v>
      </c>
      <c r="L172" s="184">
        <f>ROUND(E172*F172,2)</f>
        <v>0</v>
      </c>
      <c r="M172" s="121">
        <f>ROUND(E172*H172,2)</f>
        <v>0</v>
      </c>
      <c r="N172" s="121">
        <f>ROUND(E172*I172,2)</f>
        <v>0</v>
      </c>
      <c r="O172" s="121">
        <f>ROUND(E172*J172,2)</f>
        <v>0</v>
      </c>
      <c r="P172" s="123">
        <f>ROUND(O172+N172+M172,2)</f>
        <v>0</v>
      </c>
    </row>
    <row r="173" spans="1:16" ht="39.6" x14ac:dyDescent="0.2">
      <c r="A173" s="140"/>
      <c r="B173" s="107"/>
      <c r="C173" s="141" t="s">
        <v>266</v>
      </c>
      <c r="D173" s="142" t="s">
        <v>68</v>
      </c>
      <c r="E173" s="143">
        <v>12</v>
      </c>
      <c r="F173" s="144"/>
      <c r="G173" s="121"/>
      <c r="H173" s="122"/>
      <c r="I173" s="145"/>
      <c r="J173" s="145"/>
      <c r="K173" s="188"/>
      <c r="L173" s="189"/>
      <c r="M173" s="145"/>
      <c r="N173" s="145"/>
      <c r="O173" s="146"/>
      <c r="P173" s="147"/>
    </row>
    <row r="174" spans="1:16" ht="79.2" x14ac:dyDescent="0.2">
      <c r="A174" s="110">
        <v>1</v>
      </c>
      <c r="B174" s="106" t="s">
        <v>60</v>
      </c>
      <c r="C174" s="111" t="s">
        <v>299</v>
      </c>
      <c r="D174" s="106" t="s">
        <v>68</v>
      </c>
      <c r="E174" s="112">
        <f>12</f>
        <v>12</v>
      </c>
      <c r="F174" s="120"/>
      <c r="G174" s="121"/>
      <c r="H174" s="122">
        <f>ROUND(F174*G174,2)</f>
        <v>0</v>
      </c>
      <c r="I174" s="121"/>
      <c r="J174" s="121"/>
      <c r="K174" s="179">
        <f t="shared" ref="K174:K192" si="94">ROUND(H174+J174+I174,2)</f>
        <v>0</v>
      </c>
      <c r="L174" s="184">
        <f t="shared" ref="L174:L192" si="95">ROUND(E174*F174,2)</f>
        <v>0</v>
      </c>
      <c r="M174" s="121">
        <f t="shared" ref="M174:M192" si="96">ROUND(E174*H174,2)</f>
        <v>0</v>
      </c>
      <c r="N174" s="121">
        <f t="shared" ref="N174:N192" si="97">ROUND(E174*I174,2)</f>
        <v>0</v>
      </c>
      <c r="O174" s="121">
        <f t="shared" ref="O174:O192" si="98">ROUND(E174*J174,2)</f>
        <v>0</v>
      </c>
      <c r="P174" s="123">
        <f t="shared" ref="P174:P192" si="99">ROUND(O174+N174+M174,2)</f>
        <v>0</v>
      </c>
    </row>
    <row r="175" spans="1:16" ht="26.4" x14ac:dyDescent="0.2">
      <c r="A175" s="110">
        <v>2</v>
      </c>
      <c r="B175" s="106" t="s">
        <v>60</v>
      </c>
      <c r="C175" s="100" t="s">
        <v>253</v>
      </c>
      <c r="D175" s="106" t="s">
        <v>73</v>
      </c>
      <c r="E175" s="112">
        <v>11.34</v>
      </c>
      <c r="F175" s="120"/>
      <c r="G175" s="121"/>
      <c r="H175" s="122">
        <f t="shared" ref="H175" si="100">ROUND(F175*G175,2)</f>
        <v>0</v>
      </c>
      <c r="I175" s="121"/>
      <c r="J175" s="121"/>
      <c r="K175" s="179">
        <f t="shared" si="94"/>
        <v>0</v>
      </c>
      <c r="L175" s="184">
        <f t="shared" si="95"/>
        <v>0</v>
      </c>
      <c r="M175" s="121">
        <f t="shared" si="96"/>
        <v>0</v>
      </c>
      <c r="N175" s="121">
        <f t="shared" si="97"/>
        <v>0</v>
      </c>
      <c r="O175" s="121">
        <f t="shared" si="98"/>
        <v>0</v>
      </c>
      <c r="P175" s="123">
        <f t="shared" si="99"/>
        <v>0</v>
      </c>
    </row>
    <row r="176" spans="1:16" ht="52.8" x14ac:dyDescent="0.2">
      <c r="A176" s="110">
        <v>3</v>
      </c>
      <c r="B176" s="106" t="s">
        <v>60</v>
      </c>
      <c r="C176" s="111" t="s">
        <v>300</v>
      </c>
      <c r="D176" s="106" t="s">
        <v>73</v>
      </c>
      <c r="E176" s="112">
        <f>E174*(5.9+0.45)*1</f>
        <v>76.2</v>
      </c>
      <c r="F176" s="120"/>
      <c r="G176" s="121"/>
      <c r="H176" s="122">
        <f>ROUND(F176*G176,2)</f>
        <v>0</v>
      </c>
      <c r="I176" s="121"/>
      <c r="J176" s="121"/>
      <c r="K176" s="179">
        <f t="shared" si="94"/>
        <v>0</v>
      </c>
      <c r="L176" s="184">
        <f t="shared" si="95"/>
        <v>0</v>
      </c>
      <c r="M176" s="121">
        <f t="shared" si="96"/>
        <v>0</v>
      </c>
      <c r="N176" s="121">
        <f t="shared" si="97"/>
        <v>0</v>
      </c>
      <c r="O176" s="121">
        <f t="shared" si="98"/>
        <v>0</v>
      </c>
      <c r="P176" s="123">
        <f t="shared" si="99"/>
        <v>0</v>
      </c>
    </row>
    <row r="177" spans="1:16" ht="13.2" x14ac:dyDescent="0.2">
      <c r="A177" s="110">
        <v>4</v>
      </c>
      <c r="B177" s="106"/>
      <c r="C177" s="99" t="s">
        <v>301</v>
      </c>
      <c r="D177" s="106" t="s">
        <v>73</v>
      </c>
      <c r="E177" s="112">
        <f>E174*6*0.15*1.1</f>
        <v>11.879999999999999</v>
      </c>
      <c r="F177" s="120"/>
      <c r="G177" s="121"/>
      <c r="H177" s="122"/>
      <c r="I177" s="121"/>
      <c r="J177" s="121"/>
      <c r="K177" s="179">
        <f t="shared" si="94"/>
        <v>0</v>
      </c>
      <c r="L177" s="184">
        <f t="shared" si="95"/>
        <v>0</v>
      </c>
      <c r="M177" s="121">
        <f t="shared" si="96"/>
        <v>0</v>
      </c>
      <c r="N177" s="121">
        <f t="shared" si="97"/>
        <v>0</v>
      </c>
      <c r="O177" s="121">
        <f t="shared" si="98"/>
        <v>0</v>
      </c>
      <c r="P177" s="123">
        <f t="shared" si="99"/>
        <v>0</v>
      </c>
    </row>
    <row r="178" spans="1:16" ht="26.4" x14ac:dyDescent="0.2">
      <c r="A178" s="110">
        <v>5</v>
      </c>
      <c r="B178" s="106"/>
      <c r="C178" s="99" t="s">
        <v>288</v>
      </c>
      <c r="D178" s="106" t="s">
        <v>89</v>
      </c>
      <c r="E178" s="112">
        <f>E176*1.05*0.15</f>
        <v>12.0015</v>
      </c>
      <c r="F178" s="120"/>
      <c r="G178" s="121"/>
      <c r="H178" s="122"/>
      <c r="I178" s="121"/>
      <c r="J178" s="121"/>
      <c r="K178" s="179">
        <f t="shared" si="94"/>
        <v>0</v>
      </c>
      <c r="L178" s="184">
        <f t="shared" si="95"/>
        <v>0</v>
      </c>
      <c r="M178" s="121">
        <f t="shared" si="96"/>
        <v>0</v>
      </c>
      <c r="N178" s="121">
        <f t="shared" si="97"/>
        <v>0</v>
      </c>
      <c r="O178" s="121">
        <f t="shared" si="98"/>
        <v>0</v>
      </c>
      <c r="P178" s="123">
        <f t="shared" si="99"/>
        <v>0</v>
      </c>
    </row>
    <row r="179" spans="1:16" ht="13.2" x14ac:dyDescent="0.2">
      <c r="A179" s="110">
        <v>6</v>
      </c>
      <c r="B179" s="106"/>
      <c r="C179" s="99" t="s">
        <v>254</v>
      </c>
      <c r="D179" s="106" t="s">
        <v>62</v>
      </c>
      <c r="E179" s="112">
        <f>E174*6*6</f>
        <v>432</v>
      </c>
      <c r="F179" s="120"/>
      <c r="G179" s="121"/>
      <c r="H179" s="122"/>
      <c r="I179" s="121"/>
      <c r="J179" s="121"/>
      <c r="K179" s="179">
        <f t="shared" si="94"/>
        <v>0</v>
      </c>
      <c r="L179" s="184">
        <f t="shared" si="95"/>
        <v>0</v>
      </c>
      <c r="M179" s="121">
        <f t="shared" si="96"/>
        <v>0</v>
      </c>
      <c r="N179" s="121">
        <f t="shared" si="97"/>
        <v>0</v>
      </c>
      <c r="O179" s="121">
        <f t="shared" si="98"/>
        <v>0</v>
      </c>
      <c r="P179" s="123">
        <f t="shared" si="99"/>
        <v>0</v>
      </c>
    </row>
    <row r="180" spans="1:16" ht="13.2" x14ac:dyDescent="0.2">
      <c r="A180" s="110">
        <v>7</v>
      </c>
      <c r="B180" s="106"/>
      <c r="C180" s="99" t="s">
        <v>127</v>
      </c>
      <c r="D180" s="106" t="s">
        <v>99</v>
      </c>
      <c r="E180" s="112">
        <f>E176*5*1.1</f>
        <v>419.1</v>
      </c>
      <c r="F180" s="120"/>
      <c r="G180" s="121"/>
      <c r="H180" s="122"/>
      <c r="I180" s="121"/>
      <c r="J180" s="121"/>
      <c r="K180" s="179">
        <f t="shared" si="94"/>
        <v>0</v>
      </c>
      <c r="L180" s="184">
        <f t="shared" si="95"/>
        <v>0</v>
      </c>
      <c r="M180" s="121">
        <f t="shared" si="96"/>
        <v>0</v>
      </c>
      <c r="N180" s="121">
        <f t="shared" si="97"/>
        <v>0</v>
      </c>
      <c r="O180" s="121">
        <f t="shared" si="98"/>
        <v>0</v>
      </c>
      <c r="P180" s="123">
        <f t="shared" si="99"/>
        <v>0</v>
      </c>
    </row>
    <row r="181" spans="1:16" ht="13.2" x14ac:dyDescent="0.2">
      <c r="A181" s="110">
        <v>8</v>
      </c>
      <c r="B181" s="106"/>
      <c r="C181" s="99" t="s">
        <v>255</v>
      </c>
      <c r="D181" s="106" t="s">
        <v>62</v>
      </c>
      <c r="E181" s="112">
        <f>25.2*1.1</f>
        <v>27.720000000000002</v>
      </c>
      <c r="F181" s="120"/>
      <c r="G181" s="121"/>
      <c r="H181" s="122"/>
      <c r="I181" s="121"/>
      <c r="J181" s="121"/>
      <c r="K181" s="179">
        <f t="shared" si="94"/>
        <v>0</v>
      </c>
      <c r="L181" s="184">
        <f t="shared" si="95"/>
        <v>0</v>
      </c>
      <c r="M181" s="121">
        <f t="shared" si="96"/>
        <v>0</v>
      </c>
      <c r="N181" s="121">
        <f t="shared" si="97"/>
        <v>0</v>
      </c>
      <c r="O181" s="121">
        <f t="shared" si="98"/>
        <v>0</v>
      </c>
      <c r="P181" s="123">
        <f t="shared" si="99"/>
        <v>0</v>
      </c>
    </row>
    <row r="182" spans="1:16" ht="13.2" x14ac:dyDescent="0.2">
      <c r="A182" s="110">
        <v>9</v>
      </c>
      <c r="B182" s="106"/>
      <c r="C182" s="99" t="s">
        <v>256</v>
      </c>
      <c r="D182" s="106" t="s">
        <v>64</v>
      </c>
      <c r="E182" s="112">
        <v>84</v>
      </c>
      <c r="F182" s="120"/>
      <c r="G182" s="121"/>
      <c r="H182" s="122"/>
      <c r="I182" s="121"/>
      <c r="J182" s="121"/>
      <c r="K182" s="179">
        <f t="shared" si="94"/>
        <v>0</v>
      </c>
      <c r="L182" s="184">
        <f t="shared" si="95"/>
        <v>0</v>
      </c>
      <c r="M182" s="121">
        <f t="shared" si="96"/>
        <v>0</v>
      </c>
      <c r="N182" s="121">
        <f t="shared" si="97"/>
        <v>0</v>
      </c>
      <c r="O182" s="121">
        <f t="shared" si="98"/>
        <v>0</v>
      </c>
      <c r="P182" s="123">
        <f t="shared" si="99"/>
        <v>0</v>
      </c>
    </row>
    <row r="183" spans="1:16" ht="13.2" x14ac:dyDescent="0.2">
      <c r="A183" s="110">
        <v>10</v>
      </c>
      <c r="B183" s="106"/>
      <c r="C183" s="99" t="s">
        <v>257</v>
      </c>
      <c r="D183" s="106" t="s">
        <v>64</v>
      </c>
      <c r="E183" s="112">
        <v>168</v>
      </c>
      <c r="F183" s="120"/>
      <c r="G183" s="121"/>
      <c r="H183" s="122"/>
      <c r="I183" s="121"/>
      <c r="J183" s="121"/>
      <c r="K183" s="179">
        <f t="shared" si="94"/>
        <v>0</v>
      </c>
      <c r="L183" s="184">
        <f t="shared" si="95"/>
        <v>0</v>
      </c>
      <c r="M183" s="121">
        <f t="shared" si="96"/>
        <v>0</v>
      </c>
      <c r="N183" s="121">
        <f t="shared" si="97"/>
        <v>0</v>
      </c>
      <c r="O183" s="121">
        <f t="shared" si="98"/>
        <v>0</v>
      </c>
      <c r="P183" s="123">
        <f t="shared" si="99"/>
        <v>0</v>
      </c>
    </row>
    <row r="184" spans="1:16" ht="13.2" x14ac:dyDescent="0.2">
      <c r="A184" s="110">
        <v>11</v>
      </c>
      <c r="B184" s="106"/>
      <c r="C184" s="99" t="s">
        <v>258</v>
      </c>
      <c r="D184" s="106" t="s">
        <v>259</v>
      </c>
      <c r="E184" s="112">
        <f>E182</f>
        <v>84</v>
      </c>
      <c r="F184" s="120"/>
      <c r="G184" s="121"/>
      <c r="H184" s="122"/>
      <c r="I184" s="121"/>
      <c r="J184" s="121"/>
      <c r="K184" s="179">
        <f t="shared" si="94"/>
        <v>0</v>
      </c>
      <c r="L184" s="184">
        <f t="shared" si="95"/>
        <v>0</v>
      </c>
      <c r="M184" s="121">
        <f t="shared" si="96"/>
        <v>0</v>
      </c>
      <c r="N184" s="121">
        <f t="shared" si="97"/>
        <v>0</v>
      </c>
      <c r="O184" s="121">
        <f t="shared" si="98"/>
        <v>0</v>
      </c>
      <c r="P184" s="123">
        <f t="shared" si="99"/>
        <v>0</v>
      </c>
    </row>
    <row r="185" spans="1:16" ht="13.2" x14ac:dyDescent="0.2">
      <c r="A185" s="110">
        <v>12</v>
      </c>
      <c r="B185" s="106"/>
      <c r="C185" s="99" t="s">
        <v>119</v>
      </c>
      <c r="D185" s="106" t="s">
        <v>68</v>
      </c>
      <c r="E185" s="112">
        <f>E174</f>
        <v>12</v>
      </c>
      <c r="F185" s="120"/>
      <c r="G185" s="121"/>
      <c r="H185" s="122"/>
      <c r="I185" s="121"/>
      <c r="J185" s="121"/>
      <c r="K185" s="179">
        <f t="shared" si="94"/>
        <v>0</v>
      </c>
      <c r="L185" s="184">
        <f t="shared" si="95"/>
        <v>0</v>
      </c>
      <c r="M185" s="121">
        <f t="shared" si="96"/>
        <v>0</v>
      </c>
      <c r="N185" s="121">
        <f t="shared" si="97"/>
        <v>0</v>
      </c>
      <c r="O185" s="121">
        <f t="shared" si="98"/>
        <v>0</v>
      </c>
      <c r="P185" s="123">
        <f t="shared" si="99"/>
        <v>0</v>
      </c>
    </row>
    <row r="186" spans="1:16" ht="13.2" x14ac:dyDescent="0.2">
      <c r="A186" s="110">
        <v>13</v>
      </c>
      <c r="B186" s="106" t="s">
        <v>60</v>
      </c>
      <c r="C186" s="111" t="s">
        <v>260</v>
      </c>
      <c r="D186" s="106" t="s">
        <v>73</v>
      </c>
      <c r="E186" s="112">
        <f>E176+10.58</f>
        <v>86.78</v>
      </c>
      <c r="F186" s="120"/>
      <c r="G186" s="121"/>
      <c r="H186" s="122">
        <f>ROUND(F186*G186,2)</f>
        <v>0</v>
      </c>
      <c r="I186" s="121"/>
      <c r="J186" s="121"/>
      <c r="K186" s="179">
        <f t="shared" si="94"/>
        <v>0</v>
      </c>
      <c r="L186" s="184">
        <f t="shared" si="95"/>
        <v>0</v>
      </c>
      <c r="M186" s="121">
        <f t="shared" si="96"/>
        <v>0</v>
      </c>
      <c r="N186" s="121">
        <f t="shared" si="97"/>
        <v>0</v>
      </c>
      <c r="O186" s="121">
        <f t="shared" si="98"/>
        <v>0</v>
      </c>
      <c r="P186" s="123">
        <f t="shared" si="99"/>
        <v>0</v>
      </c>
    </row>
    <row r="187" spans="1:16" ht="13.2" x14ac:dyDescent="0.2">
      <c r="A187" s="110">
        <v>14</v>
      </c>
      <c r="B187" s="106"/>
      <c r="C187" s="99" t="s">
        <v>98</v>
      </c>
      <c r="D187" s="106" t="s">
        <v>96</v>
      </c>
      <c r="E187" s="112">
        <f>E186*0.12</f>
        <v>10.413600000000001</v>
      </c>
      <c r="F187" s="120"/>
      <c r="G187" s="121"/>
      <c r="H187" s="122"/>
      <c r="I187" s="121"/>
      <c r="J187" s="121"/>
      <c r="K187" s="179">
        <f t="shared" si="94"/>
        <v>0</v>
      </c>
      <c r="L187" s="184">
        <f t="shared" si="95"/>
        <v>0</v>
      </c>
      <c r="M187" s="121">
        <f t="shared" si="96"/>
        <v>0</v>
      </c>
      <c r="N187" s="121">
        <f t="shared" si="97"/>
        <v>0</v>
      </c>
      <c r="O187" s="121">
        <f t="shared" si="98"/>
        <v>0</v>
      </c>
      <c r="P187" s="123">
        <f t="shared" si="99"/>
        <v>0</v>
      </c>
    </row>
    <row r="188" spans="1:16" ht="26.4" x14ac:dyDescent="0.2">
      <c r="A188" s="110">
        <v>15</v>
      </c>
      <c r="B188" s="106"/>
      <c r="C188" s="99" t="s">
        <v>108</v>
      </c>
      <c r="D188" s="106" t="s">
        <v>109</v>
      </c>
      <c r="E188" s="152">
        <f>E186*5</f>
        <v>433.9</v>
      </c>
      <c r="F188" s="120"/>
      <c r="G188" s="121"/>
      <c r="H188" s="122"/>
      <c r="I188" s="121"/>
      <c r="J188" s="121"/>
      <c r="K188" s="179">
        <f t="shared" si="94"/>
        <v>0</v>
      </c>
      <c r="L188" s="184">
        <f t="shared" si="95"/>
        <v>0</v>
      </c>
      <c r="M188" s="121">
        <f t="shared" si="96"/>
        <v>0</v>
      </c>
      <c r="N188" s="121">
        <f t="shared" si="97"/>
        <v>0</v>
      </c>
      <c r="O188" s="121">
        <f t="shared" si="98"/>
        <v>0</v>
      </c>
      <c r="P188" s="123">
        <f t="shared" si="99"/>
        <v>0</v>
      </c>
    </row>
    <row r="189" spans="1:16" ht="13.2" x14ac:dyDescent="0.2">
      <c r="A189" s="110">
        <v>16</v>
      </c>
      <c r="B189" s="106"/>
      <c r="C189" s="99" t="s">
        <v>101</v>
      </c>
      <c r="D189" s="106" t="s">
        <v>73</v>
      </c>
      <c r="E189" s="112">
        <f>E186*1.2</f>
        <v>104.136</v>
      </c>
      <c r="F189" s="120"/>
      <c r="G189" s="121"/>
      <c r="H189" s="122"/>
      <c r="I189" s="121"/>
      <c r="J189" s="121"/>
      <c r="K189" s="179">
        <f t="shared" ref="K189" si="101">ROUND(H189+J189+I189,2)</f>
        <v>0</v>
      </c>
      <c r="L189" s="184">
        <f t="shared" ref="L189" si="102">ROUND(E189*F189,2)</f>
        <v>0</v>
      </c>
      <c r="M189" s="121">
        <f t="shared" ref="M189" si="103">ROUND(E189*H189,2)</f>
        <v>0</v>
      </c>
      <c r="N189" s="121">
        <f t="shared" ref="N189" si="104">ROUND(E189*I189,2)</f>
        <v>0</v>
      </c>
      <c r="O189" s="121">
        <f t="shared" ref="O189" si="105">ROUND(E189*J189,2)</f>
        <v>0</v>
      </c>
      <c r="P189" s="123">
        <f t="shared" ref="P189" si="106">ROUND(O189+N189+M189,2)</f>
        <v>0</v>
      </c>
    </row>
    <row r="190" spans="1:16" ht="13.2" x14ac:dyDescent="0.2">
      <c r="A190" s="110">
        <v>17</v>
      </c>
      <c r="B190" s="106" t="s">
        <v>60</v>
      </c>
      <c r="C190" s="100" t="s">
        <v>261</v>
      </c>
      <c r="D190" s="106" t="s">
        <v>73</v>
      </c>
      <c r="E190" s="112">
        <f>E186</f>
        <v>86.78</v>
      </c>
      <c r="F190" s="120"/>
      <c r="G190" s="121"/>
      <c r="H190" s="122">
        <f t="shared" ref="H190" si="107">ROUND(F190*G190,2)</f>
        <v>0</v>
      </c>
      <c r="I190" s="121"/>
      <c r="J190" s="121"/>
      <c r="K190" s="179">
        <f t="shared" si="94"/>
        <v>0</v>
      </c>
      <c r="L190" s="184">
        <f t="shared" si="95"/>
        <v>0</v>
      </c>
      <c r="M190" s="121">
        <f t="shared" si="96"/>
        <v>0</v>
      </c>
      <c r="N190" s="121">
        <f t="shared" si="97"/>
        <v>0</v>
      </c>
      <c r="O190" s="121">
        <f t="shared" si="98"/>
        <v>0</v>
      </c>
      <c r="P190" s="123">
        <f t="shared" si="99"/>
        <v>0</v>
      </c>
    </row>
    <row r="191" spans="1:16" ht="13.2" x14ac:dyDescent="0.2">
      <c r="A191" s="110">
        <v>18</v>
      </c>
      <c r="B191" s="106"/>
      <c r="C191" s="99" t="s">
        <v>262</v>
      </c>
      <c r="D191" s="106" t="s">
        <v>96</v>
      </c>
      <c r="E191" s="112">
        <f>E190*0.17</f>
        <v>14.752600000000001</v>
      </c>
      <c r="F191" s="120"/>
      <c r="G191" s="121"/>
      <c r="H191" s="122"/>
      <c r="I191" s="121"/>
      <c r="J191" s="121"/>
      <c r="K191" s="179">
        <f t="shared" si="94"/>
        <v>0</v>
      </c>
      <c r="L191" s="184">
        <f t="shared" si="95"/>
        <v>0</v>
      </c>
      <c r="M191" s="121">
        <f t="shared" si="96"/>
        <v>0</v>
      </c>
      <c r="N191" s="121">
        <f t="shared" si="97"/>
        <v>0</v>
      </c>
      <c r="O191" s="121">
        <f t="shared" si="98"/>
        <v>0</v>
      </c>
      <c r="P191" s="123">
        <f t="shared" si="99"/>
        <v>0</v>
      </c>
    </row>
    <row r="192" spans="1:16" ht="13.2" x14ac:dyDescent="0.2">
      <c r="A192" s="110">
        <v>19</v>
      </c>
      <c r="B192" s="106"/>
      <c r="C192" s="99" t="s">
        <v>263</v>
      </c>
      <c r="D192" s="106" t="s">
        <v>96</v>
      </c>
      <c r="E192" s="152">
        <f>E190*0.12*2*1.05</f>
        <v>21.868560000000002</v>
      </c>
      <c r="F192" s="120"/>
      <c r="G192" s="121"/>
      <c r="H192" s="122"/>
      <c r="I192" s="121"/>
      <c r="J192" s="121"/>
      <c r="K192" s="179">
        <f t="shared" si="94"/>
        <v>0</v>
      </c>
      <c r="L192" s="184">
        <f t="shared" si="95"/>
        <v>0</v>
      </c>
      <c r="M192" s="121">
        <f t="shared" si="96"/>
        <v>0</v>
      </c>
      <c r="N192" s="121">
        <f t="shared" si="97"/>
        <v>0</v>
      </c>
      <c r="O192" s="121">
        <f t="shared" si="98"/>
        <v>0</v>
      </c>
      <c r="P192" s="123">
        <f t="shared" si="99"/>
        <v>0</v>
      </c>
    </row>
    <row r="193" spans="1:16" ht="13.2" x14ac:dyDescent="0.2">
      <c r="A193" s="110">
        <v>20</v>
      </c>
      <c r="B193" s="106" t="s">
        <v>60</v>
      </c>
      <c r="C193" s="100" t="s">
        <v>264</v>
      </c>
      <c r="D193" s="106" t="s">
        <v>62</v>
      </c>
      <c r="E193" s="112">
        <v>75.599999999999994</v>
      </c>
      <c r="F193" s="120"/>
      <c r="G193" s="121"/>
      <c r="H193" s="122">
        <f t="shared" ref="H193" si="108">ROUND(F193*G193,2)</f>
        <v>0</v>
      </c>
      <c r="I193" s="121"/>
      <c r="J193" s="121"/>
      <c r="K193" s="179">
        <f>ROUND(H193+J193+I193,2)</f>
        <v>0</v>
      </c>
      <c r="L193" s="184">
        <f>ROUND(E193*F193,2)</f>
        <v>0</v>
      </c>
      <c r="M193" s="121">
        <f>ROUND(E193*H193,2)</f>
        <v>0</v>
      </c>
      <c r="N193" s="121">
        <f>ROUND(E193*I193,2)</f>
        <v>0</v>
      </c>
      <c r="O193" s="121">
        <f>ROUND(E193*J193,2)</f>
        <v>0</v>
      </c>
      <c r="P193" s="123">
        <f>ROUND(O193+N193+M193,2)</f>
        <v>0</v>
      </c>
    </row>
    <row r="194" spans="1:16" ht="26.4" x14ac:dyDescent="0.2">
      <c r="A194" s="140"/>
      <c r="B194" s="107"/>
      <c r="C194" s="141" t="s">
        <v>267</v>
      </c>
      <c r="D194" s="142" t="s">
        <v>68</v>
      </c>
      <c r="E194" s="143"/>
      <c r="F194" s="144"/>
      <c r="G194" s="121"/>
      <c r="H194" s="122"/>
      <c r="I194" s="145"/>
      <c r="J194" s="145"/>
      <c r="K194" s="188"/>
      <c r="L194" s="189"/>
      <c r="M194" s="145"/>
      <c r="N194" s="145"/>
      <c r="O194" s="146"/>
      <c r="P194" s="147"/>
    </row>
    <row r="195" spans="1:16" ht="79.2" x14ac:dyDescent="0.2">
      <c r="A195" s="110">
        <v>1</v>
      </c>
      <c r="B195" s="106" t="s">
        <v>60</v>
      </c>
      <c r="C195" s="111" t="s">
        <v>299</v>
      </c>
      <c r="D195" s="106" t="s">
        <v>68</v>
      </c>
      <c r="E195" s="112">
        <v>11</v>
      </c>
      <c r="F195" s="120"/>
      <c r="G195" s="121"/>
      <c r="H195" s="122">
        <f>ROUND(F195*G195,2)</f>
        <v>0</v>
      </c>
      <c r="I195" s="121"/>
      <c r="J195" s="121"/>
      <c r="K195" s="179">
        <f t="shared" ref="K195:K204" si="109">ROUND(H195+J195+I195,2)</f>
        <v>0</v>
      </c>
      <c r="L195" s="184">
        <f t="shared" ref="L195:L204" si="110">ROUND(E195*F195,2)</f>
        <v>0</v>
      </c>
      <c r="M195" s="121">
        <f t="shared" ref="M195:M204" si="111">ROUND(E195*H195,2)</f>
        <v>0</v>
      </c>
      <c r="N195" s="121">
        <f t="shared" ref="N195:N204" si="112">ROUND(E195*I195,2)</f>
        <v>0</v>
      </c>
      <c r="O195" s="121">
        <f t="shared" ref="O195:O204" si="113">ROUND(E195*J195,2)</f>
        <v>0</v>
      </c>
      <c r="P195" s="123">
        <f t="shared" ref="P195:P204" si="114">ROUND(O195+N195+M195,2)</f>
        <v>0</v>
      </c>
    </row>
    <row r="196" spans="1:16" ht="13.2" x14ac:dyDescent="0.2">
      <c r="A196" s="110">
        <v>2</v>
      </c>
      <c r="B196" s="106" t="s">
        <v>60</v>
      </c>
      <c r="C196" s="111" t="s">
        <v>268</v>
      </c>
      <c r="D196" s="106" t="s">
        <v>68</v>
      </c>
      <c r="E196" s="112">
        <f>E195</f>
        <v>11</v>
      </c>
      <c r="F196" s="120"/>
      <c r="G196" s="121"/>
      <c r="H196" s="122">
        <f>ROUND(F196*G196,2)</f>
        <v>0</v>
      </c>
      <c r="I196" s="121"/>
      <c r="J196" s="121"/>
      <c r="K196" s="179">
        <f t="shared" si="109"/>
        <v>0</v>
      </c>
      <c r="L196" s="184">
        <f t="shared" si="110"/>
        <v>0</v>
      </c>
      <c r="M196" s="121">
        <f t="shared" si="111"/>
        <v>0</v>
      </c>
      <c r="N196" s="121">
        <f t="shared" si="112"/>
        <v>0</v>
      </c>
      <c r="O196" s="121">
        <f t="shared" si="113"/>
        <v>0</v>
      </c>
      <c r="P196" s="123">
        <f t="shared" si="114"/>
        <v>0</v>
      </c>
    </row>
    <row r="197" spans="1:16" ht="13.2" x14ac:dyDescent="0.2">
      <c r="A197" s="110">
        <v>3</v>
      </c>
      <c r="B197" s="106"/>
      <c r="C197" s="99" t="s">
        <v>269</v>
      </c>
      <c r="D197" s="106" t="s">
        <v>64</v>
      </c>
      <c r="E197" s="112">
        <v>22</v>
      </c>
      <c r="F197" s="120"/>
      <c r="G197" s="121"/>
      <c r="H197" s="122"/>
      <c r="I197" s="121"/>
      <c r="J197" s="121"/>
      <c r="K197" s="179">
        <f t="shared" si="109"/>
        <v>0</v>
      </c>
      <c r="L197" s="184">
        <f t="shared" si="110"/>
        <v>0</v>
      </c>
      <c r="M197" s="121">
        <f t="shared" si="111"/>
        <v>0</v>
      </c>
      <c r="N197" s="121">
        <f t="shared" si="112"/>
        <v>0</v>
      </c>
      <c r="O197" s="121">
        <f t="shared" si="113"/>
        <v>0</v>
      </c>
      <c r="P197" s="123">
        <f t="shared" si="114"/>
        <v>0</v>
      </c>
    </row>
    <row r="198" spans="1:16" ht="26.4" x14ac:dyDescent="0.2">
      <c r="A198" s="110">
        <v>4</v>
      </c>
      <c r="B198" s="106"/>
      <c r="C198" s="99" t="s">
        <v>270</v>
      </c>
      <c r="D198" s="106" t="s">
        <v>64</v>
      </c>
      <c r="E198" s="112">
        <v>66</v>
      </c>
      <c r="F198" s="120"/>
      <c r="G198" s="121"/>
      <c r="H198" s="122"/>
      <c r="I198" s="121"/>
      <c r="J198" s="121"/>
      <c r="K198" s="179">
        <f t="shared" si="109"/>
        <v>0</v>
      </c>
      <c r="L198" s="184">
        <f t="shared" si="110"/>
        <v>0</v>
      </c>
      <c r="M198" s="121">
        <f t="shared" si="111"/>
        <v>0</v>
      </c>
      <c r="N198" s="121">
        <f t="shared" si="112"/>
        <v>0</v>
      </c>
      <c r="O198" s="121">
        <f t="shared" si="113"/>
        <v>0</v>
      </c>
      <c r="P198" s="123">
        <f t="shared" si="114"/>
        <v>0</v>
      </c>
    </row>
    <row r="199" spans="1:16" ht="26.4" x14ac:dyDescent="0.2">
      <c r="A199" s="110">
        <v>5</v>
      </c>
      <c r="B199" s="106"/>
      <c r="C199" s="99" t="s">
        <v>271</v>
      </c>
      <c r="D199" s="106" t="s">
        <v>62</v>
      </c>
      <c r="E199" s="112">
        <v>79.2</v>
      </c>
      <c r="F199" s="120"/>
      <c r="G199" s="121"/>
      <c r="H199" s="122"/>
      <c r="I199" s="121"/>
      <c r="J199" s="121"/>
      <c r="K199" s="179">
        <f t="shared" si="109"/>
        <v>0</v>
      </c>
      <c r="L199" s="184">
        <f t="shared" si="110"/>
        <v>0</v>
      </c>
      <c r="M199" s="121">
        <f t="shared" si="111"/>
        <v>0</v>
      </c>
      <c r="N199" s="121">
        <f t="shared" si="112"/>
        <v>0</v>
      </c>
      <c r="O199" s="121">
        <f t="shared" si="113"/>
        <v>0</v>
      </c>
      <c r="P199" s="123">
        <f t="shared" si="114"/>
        <v>0</v>
      </c>
    </row>
    <row r="200" spans="1:16" ht="13.2" x14ac:dyDescent="0.2">
      <c r="A200" s="110">
        <v>6</v>
      </c>
      <c r="B200" s="106"/>
      <c r="C200" s="99" t="s">
        <v>272</v>
      </c>
      <c r="D200" s="106" t="s">
        <v>64</v>
      </c>
      <c r="E200" s="112">
        <v>440</v>
      </c>
      <c r="F200" s="120"/>
      <c r="G200" s="121"/>
      <c r="H200" s="122"/>
      <c r="I200" s="121"/>
      <c r="J200" s="121"/>
      <c r="K200" s="179">
        <f t="shared" si="109"/>
        <v>0</v>
      </c>
      <c r="L200" s="184">
        <f t="shared" si="110"/>
        <v>0</v>
      </c>
      <c r="M200" s="121">
        <f t="shared" si="111"/>
        <v>0</v>
      </c>
      <c r="N200" s="121">
        <f t="shared" si="112"/>
        <v>0</v>
      </c>
      <c r="O200" s="121">
        <f t="shared" si="113"/>
        <v>0</v>
      </c>
      <c r="P200" s="123">
        <f t="shared" si="114"/>
        <v>0</v>
      </c>
    </row>
    <row r="201" spans="1:16" ht="26.4" x14ac:dyDescent="0.2">
      <c r="A201" s="110">
        <v>7</v>
      </c>
      <c r="B201" s="106"/>
      <c r="C201" s="99" t="s">
        <v>273</v>
      </c>
      <c r="D201" s="106" t="s">
        <v>62</v>
      </c>
      <c r="E201" s="112">
        <v>67.98</v>
      </c>
      <c r="F201" s="120"/>
      <c r="G201" s="121"/>
      <c r="H201" s="122"/>
      <c r="I201" s="121"/>
      <c r="J201" s="121"/>
      <c r="K201" s="179">
        <f t="shared" si="109"/>
        <v>0</v>
      </c>
      <c r="L201" s="184">
        <f t="shared" si="110"/>
        <v>0</v>
      </c>
      <c r="M201" s="121">
        <f t="shared" si="111"/>
        <v>0</v>
      </c>
      <c r="N201" s="121">
        <f t="shared" si="112"/>
        <v>0</v>
      </c>
      <c r="O201" s="121">
        <f t="shared" si="113"/>
        <v>0</v>
      </c>
      <c r="P201" s="123">
        <f t="shared" si="114"/>
        <v>0</v>
      </c>
    </row>
    <row r="202" spans="1:16" ht="13.2" x14ac:dyDescent="0.2">
      <c r="A202" s="110">
        <v>8</v>
      </c>
      <c r="B202" s="106"/>
      <c r="C202" s="99" t="s">
        <v>274</v>
      </c>
      <c r="D202" s="106" t="s">
        <v>62</v>
      </c>
      <c r="E202" s="112">
        <v>4.62</v>
      </c>
      <c r="F202" s="120"/>
      <c r="G202" s="121"/>
      <c r="H202" s="122"/>
      <c r="I202" s="121"/>
      <c r="J202" s="121"/>
      <c r="K202" s="179">
        <f t="shared" si="109"/>
        <v>0</v>
      </c>
      <c r="L202" s="184">
        <f t="shared" si="110"/>
        <v>0</v>
      </c>
      <c r="M202" s="121">
        <f t="shared" si="111"/>
        <v>0</v>
      </c>
      <c r="N202" s="121">
        <f t="shared" si="112"/>
        <v>0</v>
      </c>
      <c r="O202" s="121">
        <f t="shared" si="113"/>
        <v>0</v>
      </c>
      <c r="P202" s="123">
        <f t="shared" si="114"/>
        <v>0</v>
      </c>
    </row>
    <row r="203" spans="1:16" ht="13.2" x14ac:dyDescent="0.2">
      <c r="A203" s="110">
        <v>9</v>
      </c>
      <c r="B203" s="106"/>
      <c r="C203" s="99" t="s">
        <v>275</v>
      </c>
      <c r="D203" s="106" t="s">
        <v>73</v>
      </c>
      <c r="E203" s="112">
        <v>61.6</v>
      </c>
      <c r="F203" s="120"/>
      <c r="G203" s="121"/>
      <c r="H203" s="122"/>
      <c r="I203" s="121"/>
      <c r="J203" s="121"/>
      <c r="K203" s="179">
        <f t="shared" si="109"/>
        <v>0</v>
      </c>
      <c r="L203" s="184">
        <f t="shared" si="110"/>
        <v>0</v>
      </c>
      <c r="M203" s="121">
        <f t="shared" si="111"/>
        <v>0</v>
      </c>
      <c r="N203" s="121">
        <f t="shared" si="112"/>
        <v>0</v>
      </c>
      <c r="O203" s="121">
        <f t="shared" si="113"/>
        <v>0</v>
      </c>
      <c r="P203" s="123">
        <f t="shared" si="114"/>
        <v>0</v>
      </c>
    </row>
    <row r="204" spans="1:16" ht="13.8" thickBot="1" x14ac:dyDescent="0.25">
      <c r="A204" s="110">
        <v>10</v>
      </c>
      <c r="B204" s="106"/>
      <c r="C204" s="99" t="s">
        <v>119</v>
      </c>
      <c r="D204" s="106" t="s">
        <v>68</v>
      </c>
      <c r="E204" s="112">
        <f>E195</f>
        <v>11</v>
      </c>
      <c r="F204" s="120"/>
      <c r="G204" s="121"/>
      <c r="H204" s="122"/>
      <c r="I204" s="121"/>
      <c r="J204" s="121"/>
      <c r="K204" s="179">
        <f t="shared" si="109"/>
        <v>0</v>
      </c>
      <c r="L204" s="185">
        <f t="shared" si="110"/>
        <v>0</v>
      </c>
      <c r="M204" s="156">
        <f t="shared" si="111"/>
        <v>0</v>
      </c>
      <c r="N204" s="156">
        <f t="shared" si="112"/>
        <v>0</v>
      </c>
      <c r="O204" s="156">
        <f t="shared" si="113"/>
        <v>0</v>
      </c>
      <c r="P204" s="157">
        <f t="shared" si="114"/>
        <v>0</v>
      </c>
    </row>
    <row r="205" spans="1:16" ht="10.8" thickBot="1" x14ac:dyDescent="0.25">
      <c r="A205" s="285" t="s">
        <v>700</v>
      </c>
      <c r="B205" s="286"/>
      <c r="C205" s="286"/>
      <c r="D205" s="286"/>
      <c r="E205" s="286"/>
      <c r="F205" s="286"/>
      <c r="G205" s="286"/>
      <c r="H205" s="286"/>
      <c r="I205" s="286"/>
      <c r="J205" s="286"/>
      <c r="K205" s="287"/>
      <c r="L205" s="69">
        <f>SUM(L14:L204)</f>
        <v>0</v>
      </c>
      <c r="M205" s="70">
        <f>SUM(M14:M204)</f>
        <v>0</v>
      </c>
      <c r="N205" s="70">
        <f>SUM(N14:N204)</f>
        <v>0</v>
      </c>
      <c r="O205" s="70">
        <f>SUM(O14:O204)</f>
        <v>0</v>
      </c>
      <c r="P205" s="71">
        <f>SUM(P14:P204)</f>
        <v>0</v>
      </c>
    </row>
    <row r="206" spans="1:16" x14ac:dyDescent="0.2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</row>
    <row r="207" spans="1:16" x14ac:dyDescent="0.2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</row>
    <row r="208" spans="1:16" x14ac:dyDescent="0.2">
      <c r="A208" s="1" t="s">
        <v>14</v>
      </c>
      <c r="B208" s="17"/>
      <c r="C208" s="284">
        <f>'Kops a'!C37:H37</f>
        <v>0</v>
      </c>
      <c r="D208" s="284"/>
      <c r="E208" s="284"/>
      <c r="F208" s="284"/>
      <c r="G208" s="284"/>
      <c r="H208" s="284"/>
      <c r="I208" s="17"/>
      <c r="J208" s="17"/>
      <c r="K208" s="17"/>
      <c r="L208" s="17"/>
      <c r="M208" s="17"/>
      <c r="N208" s="17"/>
      <c r="O208" s="17"/>
      <c r="P208" s="17"/>
    </row>
    <row r="209" spans="1:16" x14ac:dyDescent="0.2">
      <c r="A209" s="17"/>
      <c r="B209" s="17"/>
      <c r="C209" s="219" t="s">
        <v>15</v>
      </c>
      <c r="D209" s="219"/>
      <c r="E209" s="219"/>
      <c r="F209" s="219"/>
      <c r="G209" s="219"/>
      <c r="H209" s="219"/>
      <c r="I209" s="17"/>
      <c r="J209" s="17"/>
      <c r="K209" s="17"/>
      <c r="L209" s="17"/>
      <c r="M209" s="17"/>
      <c r="N209" s="17"/>
      <c r="O209" s="17"/>
      <c r="P209" s="17"/>
    </row>
    <row r="210" spans="1:16" x14ac:dyDescent="0.2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</row>
    <row r="211" spans="1:16" x14ac:dyDescent="0.2">
      <c r="A211" s="88" t="str">
        <f>'Kops a'!A40</f>
        <v xml:space="preserve">Tāme sastādīta </v>
      </c>
      <c r="B211" s="89"/>
      <c r="C211" s="89"/>
      <c r="D211" s="89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</row>
    <row r="212" spans="1:16" x14ac:dyDescent="0.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</row>
    <row r="213" spans="1:16" x14ac:dyDescent="0.2">
      <c r="A213" s="1" t="s">
        <v>37</v>
      </c>
      <c r="B213" s="17"/>
      <c r="C213" s="284">
        <f>'Kops a'!C42:H42</f>
        <v>0</v>
      </c>
      <c r="D213" s="284"/>
      <c r="E213" s="284"/>
      <c r="F213" s="284"/>
      <c r="G213" s="284"/>
      <c r="H213" s="284"/>
      <c r="I213" s="17"/>
      <c r="J213" s="17"/>
      <c r="K213" s="17"/>
      <c r="L213" s="17"/>
      <c r="M213" s="17"/>
      <c r="N213" s="17"/>
      <c r="O213" s="17"/>
      <c r="P213" s="17"/>
    </row>
    <row r="214" spans="1:16" x14ac:dyDescent="0.2">
      <c r="A214" s="17"/>
      <c r="B214" s="17"/>
      <c r="C214" s="219" t="s">
        <v>15</v>
      </c>
      <c r="D214" s="219"/>
      <c r="E214" s="219"/>
      <c r="F214" s="219"/>
      <c r="G214" s="219"/>
      <c r="H214" s="219"/>
      <c r="I214" s="17"/>
      <c r="J214" s="17"/>
      <c r="K214" s="17"/>
      <c r="L214" s="17"/>
      <c r="M214" s="17"/>
      <c r="N214" s="17"/>
      <c r="O214" s="17"/>
      <c r="P214" s="17"/>
    </row>
    <row r="215" spans="1:16" x14ac:dyDescent="0.2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</row>
    <row r="216" spans="1:16" x14ac:dyDescent="0.2">
      <c r="A216" s="88" t="s">
        <v>54</v>
      </c>
      <c r="B216" s="89"/>
      <c r="C216" s="93">
        <f>'Kops a'!C45</f>
        <v>0</v>
      </c>
      <c r="D216" s="50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</row>
    <row r="217" spans="1:16" x14ac:dyDescent="0.2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</row>
  </sheetData>
  <mergeCells count="23">
    <mergeCell ref="C214:H214"/>
    <mergeCell ref="C4:I4"/>
    <mergeCell ref="F12:K12"/>
    <mergeCell ref="J9:M9"/>
    <mergeCell ref="D8:L8"/>
    <mergeCell ref="A205:K205"/>
    <mergeCell ref="C208:H208"/>
    <mergeCell ref="C209:H209"/>
    <mergeCell ref="C213:H213"/>
    <mergeCell ref="A12:A13"/>
    <mergeCell ref="B12:B13"/>
    <mergeCell ref="C12:C13"/>
    <mergeCell ref="D12:D13"/>
    <mergeCell ref="E12:E13"/>
    <mergeCell ref="L12:P12"/>
    <mergeCell ref="Q132:U151"/>
    <mergeCell ref="N9:O9"/>
    <mergeCell ref="C2:I2"/>
    <mergeCell ref="C3:I3"/>
    <mergeCell ref="D5:L5"/>
    <mergeCell ref="D6:L6"/>
    <mergeCell ref="D7:L7"/>
    <mergeCell ref="A9:F9"/>
  </mergeCells>
  <conditionalFormatting sqref="I15:J146 A15:G146 A147:B147 I148:J167 A148:G167 B168 A173:G175 I169:J188 B169:G172 A168:A172 B189 I190:J204 B190:G193 B176:G188 A176:A193 A194:G204">
    <cfRule type="cellIs" dxfId="276" priority="32" operator="equal">
      <formula>0</formula>
    </cfRule>
  </conditionalFormatting>
  <conditionalFormatting sqref="N9:O9 H14:H146 K14:P146 K148:P167 H148:H167 H169:H188 K169:P188 K190:P204 H190:H204">
    <cfRule type="cellIs" dxfId="275" priority="31" operator="equal">
      <formula>0</formula>
    </cfRule>
  </conditionalFormatting>
  <conditionalFormatting sqref="A9:F9">
    <cfRule type="containsText" dxfId="274" priority="29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273" priority="28" operator="equal">
      <formula>0</formula>
    </cfRule>
  </conditionalFormatting>
  <conditionalFormatting sqref="O10">
    <cfRule type="cellIs" dxfId="272" priority="27" operator="equal">
      <formula>"20__. gada __. _________"</formula>
    </cfRule>
  </conditionalFormatting>
  <conditionalFormatting sqref="A205:K205">
    <cfRule type="containsText" dxfId="271" priority="26" operator="containsText" text="Tiešās izmaksas kopā, t. sk. darba devēja sociālais nodoklis __.__% ">
      <formula>NOT(ISERROR(SEARCH("Tiešās izmaksas kopā, t. sk. darba devēja sociālais nodoklis __.__% ",A205)))</formula>
    </cfRule>
  </conditionalFormatting>
  <conditionalFormatting sqref="L205:P205">
    <cfRule type="cellIs" dxfId="270" priority="21" operator="equal">
      <formula>0</formula>
    </cfRule>
  </conditionalFormatting>
  <conditionalFormatting sqref="C4:I4">
    <cfRule type="cellIs" dxfId="269" priority="20" operator="equal">
      <formula>0</formula>
    </cfRule>
  </conditionalFormatting>
  <conditionalFormatting sqref="D5:L8">
    <cfRule type="cellIs" dxfId="268" priority="17" operator="equal">
      <formula>0</formula>
    </cfRule>
  </conditionalFormatting>
  <conditionalFormatting sqref="A14:B14 D14:G14">
    <cfRule type="cellIs" dxfId="267" priority="16" operator="equal">
      <formula>0</formula>
    </cfRule>
  </conditionalFormatting>
  <conditionalFormatting sqref="C14">
    <cfRule type="cellIs" dxfId="266" priority="15" operator="equal">
      <formula>0</formula>
    </cfRule>
  </conditionalFormatting>
  <conditionalFormatting sqref="I14:J14">
    <cfRule type="cellIs" dxfId="265" priority="14" operator="equal">
      <formula>0</formula>
    </cfRule>
  </conditionalFormatting>
  <conditionalFormatting sqref="P10">
    <cfRule type="cellIs" dxfId="264" priority="13" operator="equal">
      <formula>"20__. gada __. _________"</formula>
    </cfRule>
  </conditionalFormatting>
  <conditionalFormatting sqref="C213:H213">
    <cfRule type="cellIs" dxfId="263" priority="10" operator="equal">
      <formula>0</formula>
    </cfRule>
  </conditionalFormatting>
  <conditionalFormatting sqref="C208:H208">
    <cfRule type="cellIs" dxfId="262" priority="9" operator="equal">
      <formula>0</formula>
    </cfRule>
  </conditionalFormatting>
  <conditionalFormatting sqref="C213:H213 C216 C208:H208">
    <cfRule type="cellIs" dxfId="261" priority="8" operator="equal">
      <formula>0</formula>
    </cfRule>
  </conditionalFormatting>
  <conditionalFormatting sqref="D1">
    <cfRule type="cellIs" dxfId="260" priority="7" operator="equal">
      <formula>0</formula>
    </cfRule>
  </conditionalFormatting>
  <conditionalFormatting sqref="C147:G147 I147:J147">
    <cfRule type="cellIs" dxfId="259" priority="6" operator="equal">
      <formula>0</formula>
    </cfRule>
  </conditionalFormatting>
  <conditionalFormatting sqref="K147:P147 H147">
    <cfRule type="cellIs" dxfId="258" priority="5" operator="equal">
      <formula>0</formula>
    </cfRule>
  </conditionalFormatting>
  <conditionalFormatting sqref="C168:G168 I168:J168">
    <cfRule type="cellIs" dxfId="257" priority="4" operator="equal">
      <formula>0</formula>
    </cfRule>
  </conditionalFormatting>
  <conditionalFormatting sqref="H168 K168:P168">
    <cfRule type="cellIs" dxfId="256" priority="3" operator="equal">
      <formula>0</formula>
    </cfRule>
  </conditionalFormatting>
  <conditionalFormatting sqref="I189:J189 C189:G189">
    <cfRule type="cellIs" dxfId="255" priority="2" operator="equal">
      <formula>0</formula>
    </cfRule>
  </conditionalFormatting>
  <conditionalFormatting sqref="K189:P189 H189">
    <cfRule type="cellIs" dxfId="254" priority="1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DC7EA987-A541-4A14-8BBA-80430C8D8797}">
            <xm:f>NOT(ISERROR(SEARCH("Tāme sastādīta ____. gada ___. ______________",A211)))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A211</xm:sqref>
        </x14:conditionalFormatting>
        <x14:conditionalFormatting xmlns:xm="http://schemas.microsoft.com/office/excel/2006/main">
          <x14:cfRule type="containsText" priority="11" operator="containsText" id="{ACDA78AF-73B6-4D16-9157-A1B6B42F0CA3}">
            <xm:f>NOT(ISERROR(SEARCH("Sertifikāta Nr. _________________________________",A216)))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A216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A337"/>
  <sheetViews>
    <sheetView zoomScaleNormal="100" workbookViewId="0">
      <selection activeCell="A9" sqref="A9:F9"/>
    </sheetView>
  </sheetViews>
  <sheetFormatPr defaultColWidth="9.109375" defaultRowHeight="10.199999999999999" x14ac:dyDescent="0.2"/>
  <cols>
    <col min="1" max="1" width="4.5546875" style="1" customWidth="1"/>
    <col min="2" max="2" width="9.44140625" style="1" bestFit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16" x14ac:dyDescent="0.2">
      <c r="A1" s="23"/>
      <c r="B1" s="23"/>
      <c r="C1" s="27" t="s">
        <v>38</v>
      </c>
      <c r="D1" s="51">
        <f>'Kops a'!A20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267" t="s">
        <v>122</v>
      </c>
      <c r="D2" s="267"/>
      <c r="E2" s="267"/>
      <c r="F2" s="267"/>
      <c r="G2" s="267"/>
      <c r="H2" s="267"/>
      <c r="I2" s="267"/>
      <c r="J2" s="29"/>
    </row>
    <row r="3" spans="1:16" x14ac:dyDescent="0.2">
      <c r="A3" s="30"/>
      <c r="B3" s="30"/>
      <c r="C3" s="228" t="s">
        <v>17</v>
      </c>
      <c r="D3" s="228"/>
      <c r="E3" s="228"/>
      <c r="F3" s="228"/>
      <c r="G3" s="228"/>
      <c r="H3" s="228"/>
      <c r="I3" s="228"/>
      <c r="J3" s="30"/>
    </row>
    <row r="4" spans="1:16" x14ac:dyDescent="0.2">
      <c r="A4" s="30"/>
      <c r="B4" s="30"/>
      <c r="C4" s="268" t="s">
        <v>52</v>
      </c>
      <c r="D4" s="268"/>
      <c r="E4" s="268"/>
      <c r="F4" s="268"/>
      <c r="G4" s="268"/>
      <c r="H4" s="268"/>
      <c r="I4" s="268"/>
      <c r="J4" s="30"/>
    </row>
    <row r="5" spans="1:16" x14ac:dyDescent="0.2">
      <c r="A5" s="23"/>
      <c r="B5" s="23"/>
      <c r="C5" s="27" t="s">
        <v>5</v>
      </c>
      <c r="D5" s="281" t="str">
        <f>'Kops a'!D6</f>
        <v>DAUDZDZĪVOKĻU DZĪVOJAMĀ ĒKA</v>
      </c>
      <c r="E5" s="281"/>
      <c r="F5" s="281"/>
      <c r="G5" s="281"/>
      <c r="H5" s="281"/>
      <c r="I5" s="281"/>
      <c r="J5" s="281"/>
      <c r="K5" s="281"/>
      <c r="L5" s="281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281" t="str">
        <f>'Kops a'!D7</f>
        <v>ENERGOEFEKTIVITĀTES PAAUGSTINĀŠANA DAUDZDZĪVOKĻU DZĪVOJAMAI ĒKAI</v>
      </c>
      <c r="E6" s="281"/>
      <c r="F6" s="281"/>
      <c r="G6" s="281"/>
      <c r="H6" s="281"/>
      <c r="I6" s="281"/>
      <c r="J6" s="281"/>
      <c r="K6" s="281"/>
      <c r="L6" s="281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281" t="str">
        <f>'Kops a'!D8</f>
        <v>Pasta iela 34, Jelgava, ēkas kad. apz. 0900 001 0177 001</v>
      </c>
      <c r="E7" s="281"/>
      <c r="F7" s="281"/>
      <c r="G7" s="281"/>
      <c r="H7" s="281"/>
      <c r="I7" s="281"/>
      <c r="J7" s="281"/>
      <c r="K7" s="281"/>
      <c r="L7" s="281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281">
        <f>'Kops a'!D9</f>
        <v>0</v>
      </c>
      <c r="E8" s="281"/>
      <c r="F8" s="281"/>
      <c r="G8" s="281"/>
      <c r="H8" s="281"/>
      <c r="I8" s="281"/>
      <c r="J8" s="281"/>
      <c r="K8" s="281"/>
      <c r="L8" s="281"/>
      <c r="M8" s="17"/>
      <c r="N8" s="17"/>
      <c r="O8" s="17"/>
      <c r="P8" s="17"/>
    </row>
    <row r="9" spans="1:16" ht="11.25" customHeight="1" x14ac:dyDescent="0.2">
      <c r="A9" s="269" t="s">
        <v>702</v>
      </c>
      <c r="B9" s="269"/>
      <c r="C9" s="269"/>
      <c r="D9" s="269"/>
      <c r="E9" s="269"/>
      <c r="F9" s="269"/>
      <c r="G9" s="31"/>
      <c r="H9" s="31"/>
      <c r="I9" s="31"/>
      <c r="J9" s="273" t="s">
        <v>39</v>
      </c>
      <c r="K9" s="273"/>
      <c r="L9" s="273"/>
      <c r="M9" s="273"/>
      <c r="N9" s="280">
        <f>P325</f>
        <v>0</v>
      </c>
      <c r="O9" s="280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1"/>
      <c r="P10" s="90" t="str">
        <f>A331</f>
        <v xml:space="preserve">Tāme sastādīta </v>
      </c>
    </row>
    <row r="11" spans="1:16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239" t="s">
        <v>23</v>
      </c>
      <c r="B12" s="275" t="s">
        <v>40</v>
      </c>
      <c r="C12" s="271" t="s">
        <v>41</v>
      </c>
      <c r="D12" s="278" t="s">
        <v>42</v>
      </c>
      <c r="E12" s="282" t="s">
        <v>43</v>
      </c>
      <c r="F12" s="270" t="s">
        <v>44</v>
      </c>
      <c r="G12" s="271"/>
      <c r="H12" s="271"/>
      <c r="I12" s="271"/>
      <c r="J12" s="271"/>
      <c r="K12" s="272"/>
      <c r="L12" s="270" t="s">
        <v>45</v>
      </c>
      <c r="M12" s="271"/>
      <c r="N12" s="271"/>
      <c r="O12" s="271"/>
      <c r="P12" s="272"/>
    </row>
    <row r="13" spans="1:16" ht="126.75" customHeight="1" thickBot="1" x14ac:dyDescent="0.25">
      <c r="A13" s="274"/>
      <c r="B13" s="276"/>
      <c r="C13" s="277"/>
      <c r="D13" s="279"/>
      <c r="E13" s="283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16" ht="26.4" x14ac:dyDescent="0.2">
      <c r="A14" s="101"/>
      <c r="B14" s="102"/>
      <c r="C14" s="103" t="s">
        <v>302</v>
      </c>
      <c r="D14" s="104"/>
      <c r="E14" s="105"/>
      <c r="F14" s="138"/>
      <c r="G14" s="139"/>
      <c r="H14" s="139"/>
      <c r="I14" s="139"/>
      <c r="J14" s="139"/>
      <c r="K14" s="190"/>
      <c r="L14" s="191"/>
      <c r="M14" s="139"/>
      <c r="N14" s="139"/>
      <c r="O14" s="139"/>
      <c r="P14" s="150"/>
    </row>
    <row r="15" spans="1:16" ht="39.6" x14ac:dyDescent="0.2">
      <c r="A15" s="110">
        <v>1</v>
      </c>
      <c r="B15" s="106" t="s">
        <v>60</v>
      </c>
      <c r="C15" s="100" t="s">
        <v>303</v>
      </c>
      <c r="D15" s="106" t="s">
        <v>62</v>
      </c>
      <c r="E15" s="112">
        <v>39</v>
      </c>
      <c r="F15" s="120"/>
      <c r="G15" s="121"/>
      <c r="H15" s="122">
        <f>ROUND(F15*G15,2)</f>
        <v>0</v>
      </c>
      <c r="I15" s="121"/>
      <c r="J15" s="121"/>
      <c r="K15" s="179">
        <f>ROUND(H15+J15+I15,2)</f>
        <v>0</v>
      </c>
      <c r="L15" s="184">
        <f>ROUND(E15*F15,2)</f>
        <v>0</v>
      </c>
      <c r="M15" s="121">
        <f>ROUND(E15*H15,2)</f>
        <v>0</v>
      </c>
      <c r="N15" s="121">
        <f>ROUND(E15*I15,2)</f>
        <v>0</v>
      </c>
      <c r="O15" s="121">
        <f>ROUND(E15*J15,2)</f>
        <v>0</v>
      </c>
      <c r="P15" s="123">
        <f>ROUND(O15+N15+M15,2)</f>
        <v>0</v>
      </c>
    </row>
    <row r="16" spans="1:16" ht="13.2" x14ac:dyDescent="0.2">
      <c r="A16" s="110">
        <v>2</v>
      </c>
      <c r="B16" s="106" t="s">
        <v>60</v>
      </c>
      <c r="C16" s="100" t="s">
        <v>304</v>
      </c>
      <c r="D16" s="106" t="s">
        <v>73</v>
      </c>
      <c r="E16" s="112">
        <v>51.32</v>
      </c>
      <c r="F16" s="120"/>
      <c r="G16" s="121"/>
      <c r="H16" s="122">
        <f t="shared" ref="H16:H31" si="0">ROUND(F16*G16,2)</f>
        <v>0</v>
      </c>
      <c r="I16" s="121"/>
      <c r="J16" s="121"/>
      <c r="K16" s="179">
        <f>ROUND(H16+J16+I16,2)</f>
        <v>0</v>
      </c>
      <c r="L16" s="184">
        <f>ROUND(E16*F16,2)</f>
        <v>0</v>
      </c>
      <c r="M16" s="121">
        <f>ROUND(E16*H16,2)</f>
        <v>0</v>
      </c>
      <c r="N16" s="121">
        <f>ROUND(E16*I16,2)</f>
        <v>0</v>
      </c>
      <c r="O16" s="121">
        <f>ROUND(E16*J16,2)</f>
        <v>0</v>
      </c>
      <c r="P16" s="123">
        <f>ROUND(O16+N16+M16,2)</f>
        <v>0</v>
      </c>
    </row>
    <row r="17" spans="1:16" ht="26.4" x14ac:dyDescent="0.2">
      <c r="A17" s="110">
        <v>3</v>
      </c>
      <c r="B17" s="106" t="s">
        <v>60</v>
      </c>
      <c r="C17" s="100" t="s">
        <v>123</v>
      </c>
      <c r="D17" s="106" t="s">
        <v>73</v>
      </c>
      <c r="E17" s="112">
        <f>E16</f>
        <v>51.32</v>
      </c>
      <c r="F17" s="120"/>
      <c r="G17" s="121"/>
      <c r="H17" s="122">
        <f t="shared" si="0"/>
        <v>0</v>
      </c>
      <c r="I17" s="121"/>
      <c r="J17" s="121"/>
      <c r="K17" s="179">
        <f>ROUND(H17+J17+I17,2)</f>
        <v>0</v>
      </c>
      <c r="L17" s="184">
        <f>ROUND(E17*F17,2)</f>
        <v>0</v>
      </c>
      <c r="M17" s="121">
        <f>ROUND(E17*H17,2)</f>
        <v>0</v>
      </c>
      <c r="N17" s="121">
        <f>ROUND(E17*I17,2)</f>
        <v>0</v>
      </c>
      <c r="O17" s="121">
        <f>ROUND(E17*J17,2)</f>
        <v>0</v>
      </c>
      <c r="P17" s="123">
        <f>ROUND(O17+N17+M17,2)</f>
        <v>0</v>
      </c>
    </row>
    <row r="18" spans="1:16" ht="26.4" x14ac:dyDescent="0.2">
      <c r="A18" s="110">
        <v>4</v>
      </c>
      <c r="B18" s="106" t="s">
        <v>60</v>
      </c>
      <c r="C18" s="100" t="s">
        <v>107</v>
      </c>
      <c r="D18" s="106" t="s">
        <v>73</v>
      </c>
      <c r="E18" s="112">
        <f>E16</f>
        <v>51.32</v>
      </c>
      <c r="F18" s="120"/>
      <c r="G18" s="121"/>
      <c r="H18" s="122">
        <f t="shared" si="0"/>
        <v>0</v>
      </c>
      <c r="I18" s="121"/>
      <c r="J18" s="121"/>
      <c r="K18" s="179">
        <f>ROUND(H18+J18+I18,2)</f>
        <v>0</v>
      </c>
      <c r="L18" s="184">
        <f>ROUND(E18*F18,2)</f>
        <v>0</v>
      </c>
      <c r="M18" s="121">
        <f>ROUND(E18*H18,2)</f>
        <v>0</v>
      </c>
      <c r="N18" s="121">
        <f>ROUND(E18*I18,2)</f>
        <v>0</v>
      </c>
      <c r="O18" s="121">
        <f>ROUND(E18*J18,2)</f>
        <v>0</v>
      </c>
      <c r="P18" s="123">
        <f>ROUND(O18+N18+M18,2)</f>
        <v>0</v>
      </c>
    </row>
    <row r="19" spans="1:16" ht="13.2" x14ac:dyDescent="0.2">
      <c r="A19" s="110">
        <v>5</v>
      </c>
      <c r="B19" s="106"/>
      <c r="C19" s="99" t="s">
        <v>373</v>
      </c>
      <c r="D19" s="106" t="s">
        <v>96</v>
      </c>
      <c r="E19" s="112">
        <f>E18*0.12</f>
        <v>6.1583999999999994</v>
      </c>
      <c r="F19" s="120"/>
      <c r="G19" s="121"/>
      <c r="H19" s="122"/>
      <c r="I19" s="121"/>
      <c r="J19" s="121"/>
      <c r="K19" s="179">
        <f t="shared" ref="K19:K33" si="1">ROUND(H19+J19+I19,2)</f>
        <v>0</v>
      </c>
      <c r="L19" s="184">
        <f t="shared" ref="L19:L33" si="2">ROUND(E19*F19,2)</f>
        <v>0</v>
      </c>
      <c r="M19" s="121">
        <f t="shared" ref="M19:M33" si="3">ROUND(E19*H19,2)</f>
        <v>0</v>
      </c>
      <c r="N19" s="121">
        <f t="shared" ref="N19:N33" si="4">ROUND(E19*I19,2)</f>
        <v>0</v>
      </c>
      <c r="O19" s="121">
        <f t="shared" ref="O19:O33" si="5">ROUND(E19*J19,2)</f>
        <v>0</v>
      </c>
      <c r="P19" s="123">
        <f t="shared" ref="P19:P33" si="6">ROUND(O19+N19+M19,2)</f>
        <v>0</v>
      </c>
    </row>
    <row r="20" spans="1:16" ht="26.4" x14ac:dyDescent="0.2">
      <c r="A20" s="110">
        <v>6</v>
      </c>
      <c r="B20" s="106"/>
      <c r="C20" s="99" t="s">
        <v>391</v>
      </c>
      <c r="D20" s="106" t="s">
        <v>109</v>
      </c>
      <c r="E20" s="112">
        <f>E18*5</f>
        <v>256.60000000000002</v>
      </c>
      <c r="F20" s="120"/>
      <c r="G20" s="121"/>
      <c r="H20" s="122"/>
      <c r="I20" s="121"/>
      <c r="J20" s="121"/>
      <c r="K20" s="179">
        <f t="shared" si="1"/>
        <v>0</v>
      </c>
      <c r="L20" s="184">
        <f t="shared" si="2"/>
        <v>0</v>
      </c>
      <c r="M20" s="121">
        <f t="shared" si="3"/>
        <v>0</v>
      </c>
      <c r="N20" s="121">
        <f t="shared" si="4"/>
        <v>0</v>
      </c>
      <c r="O20" s="121">
        <f t="shared" si="5"/>
        <v>0</v>
      </c>
      <c r="P20" s="123">
        <f t="shared" si="6"/>
        <v>0</v>
      </c>
    </row>
    <row r="21" spans="1:16" ht="13.2" x14ac:dyDescent="0.2">
      <c r="A21" s="110">
        <v>7</v>
      </c>
      <c r="B21" s="106" t="s">
        <v>60</v>
      </c>
      <c r="C21" s="100" t="s">
        <v>124</v>
      </c>
      <c r="D21" s="106" t="s">
        <v>73</v>
      </c>
      <c r="E21" s="112">
        <f>E18</f>
        <v>51.32</v>
      </c>
      <c r="F21" s="120"/>
      <c r="G21" s="121"/>
      <c r="H21" s="122">
        <f t="shared" si="0"/>
        <v>0</v>
      </c>
      <c r="I21" s="121"/>
      <c r="J21" s="121"/>
      <c r="K21" s="179">
        <f>ROUND(H21+J21+I21,2)</f>
        <v>0</v>
      </c>
      <c r="L21" s="184">
        <f>ROUND(E21*F21,2)</f>
        <v>0</v>
      </c>
      <c r="M21" s="121">
        <f>ROUND(E21*H21,2)</f>
        <v>0</v>
      </c>
      <c r="N21" s="121">
        <f>ROUND(E21*I21,2)</f>
        <v>0</v>
      </c>
      <c r="O21" s="121">
        <f>ROUND(E21*J21,2)</f>
        <v>0</v>
      </c>
      <c r="P21" s="123">
        <f>ROUND(O21+N21+M21,2)</f>
        <v>0</v>
      </c>
    </row>
    <row r="22" spans="1:16" ht="13.2" x14ac:dyDescent="0.2">
      <c r="A22" s="110">
        <v>8</v>
      </c>
      <c r="B22" s="106"/>
      <c r="C22" s="99" t="s">
        <v>125</v>
      </c>
      <c r="D22" s="106" t="s">
        <v>126</v>
      </c>
      <c r="E22" s="112">
        <f>ROUND(E21/4,2)</f>
        <v>12.83</v>
      </c>
      <c r="F22" s="120"/>
      <c r="G22" s="121"/>
      <c r="H22" s="122"/>
      <c r="I22" s="121"/>
      <c r="J22" s="121"/>
      <c r="K22" s="179">
        <f t="shared" ref="K22:K24" si="7">ROUND(H22+J22+I22,2)</f>
        <v>0</v>
      </c>
      <c r="L22" s="184">
        <f t="shared" ref="L22:L24" si="8">ROUND(E22*F22,2)</f>
        <v>0</v>
      </c>
      <c r="M22" s="121">
        <f t="shared" ref="M22:M24" si="9">ROUND(E22*H22,2)</f>
        <v>0</v>
      </c>
      <c r="N22" s="121">
        <f t="shared" ref="N22:N24" si="10">ROUND(E22*I22,2)</f>
        <v>0</v>
      </c>
      <c r="O22" s="121">
        <f t="shared" ref="O22:O24" si="11">ROUND(E22*J22,2)</f>
        <v>0</v>
      </c>
      <c r="P22" s="123">
        <f t="shared" ref="P22:P24" si="12">ROUND(O22+N22+M22,2)</f>
        <v>0</v>
      </c>
    </row>
    <row r="23" spans="1:16" ht="26.4" x14ac:dyDescent="0.2">
      <c r="A23" s="110">
        <v>9</v>
      </c>
      <c r="B23" s="106"/>
      <c r="C23" s="99" t="s">
        <v>408</v>
      </c>
      <c r="D23" s="106" t="s">
        <v>64</v>
      </c>
      <c r="E23" s="112">
        <f>ROUND(E21*5.5,0)</f>
        <v>282</v>
      </c>
      <c r="F23" s="120"/>
      <c r="G23" s="121"/>
      <c r="H23" s="122"/>
      <c r="I23" s="121"/>
      <c r="J23" s="121"/>
      <c r="K23" s="179">
        <f t="shared" si="7"/>
        <v>0</v>
      </c>
      <c r="L23" s="184">
        <f t="shared" si="8"/>
        <v>0</v>
      </c>
      <c r="M23" s="121">
        <f t="shared" si="9"/>
        <v>0</v>
      </c>
      <c r="N23" s="121">
        <f t="shared" si="10"/>
        <v>0</v>
      </c>
      <c r="O23" s="121">
        <f t="shared" si="11"/>
        <v>0</v>
      </c>
      <c r="P23" s="123">
        <f t="shared" si="12"/>
        <v>0</v>
      </c>
    </row>
    <row r="24" spans="1:16" ht="13.2" x14ac:dyDescent="0.2">
      <c r="A24" s="110">
        <v>10</v>
      </c>
      <c r="B24" s="106"/>
      <c r="C24" s="99" t="s">
        <v>121</v>
      </c>
      <c r="D24" s="106" t="s">
        <v>64</v>
      </c>
      <c r="E24" s="112">
        <f>E23</f>
        <v>282</v>
      </c>
      <c r="F24" s="120"/>
      <c r="G24" s="121"/>
      <c r="H24" s="122"/>
      <c r="I24" s="121"/>
      <c r="J24" s="121"/>
      <c r="K24" s="179">
        <f t="shared" si="7"/>
        <v>0</v>
      </c>
      <c r="L24" s="184">
        <f t="shared" si="8"/>
        <v>0</v>
      </c>
      <c r="M24" s="121">
        <f t="shared" si="9"/>
        <v>0</v>
      </c>
      <c r="N24" s="121">
        <f t="shared" si="10"/>
        <v>0</v>
      </c>
      <c r="O24" s="121">
        <f t="shared" si="11"/>
        <v>0</v>
      </c>
      <c r="P24" s="123">
        <f t="shared" si="12"/>
        <v>0</v>
      </c>
    </row>
    <row r="25" spans="1:16" ht="26.4" x14ac:dyDescent="0.2">
      <c r="A25" s="110">
        <v>11</v>
      </c>
      <c r="B25" s="106"/>
      <c r="C25" s="99" t="s">
        <v>375</v>
      </c>
      <c r="D25" s="106" t="s">
        <v>73</v>
      </c>
      <c r="E25" s="112">
        <f>E21*1.02</f>
        <v>52.346400000000003</v>
      </c>
      <c r="F25" s="120"/>
      <c r="G25" s="121"/>
      <c r="H25" s="122"/>
      <c r="I25" s="121"/>
      <c r="J25" s="121"/>
      <c r="K25" s="179">
        <f t="shared" si="1"/>
        <v>0</v>
      </c>
      <c r="L25" s="184">
        <f t="shared" si="2"/>
        <v>0</v>
      </c>
      <c r="M25" s="121">
        <f t="shared" si="3"/>
        <v>0</v>
      </c>
      <c r="N25" s="121">
        <f t="shared" si="4"/>
        <v>0</v>
      </c>
      <c r="O25" s="121">
        <f t="shared" si="5"/>
        <v>0</v>
      </c>
      <c r="P25" s="123">
        <f t="shared" si="6"/>
        <v>0</v>
      </c>
    </row>
    <row r="26" spans="1:16" ht="13.2" x14ac:dyDescent="0.2">
      <c r="A26" s="110">
        <v>12</v>
      </c>
      <c r="B26" s="106" t="s">
        <v>60</v>
      </c>
      <c r="C26" s="100" t="s">
        <v>112</v>
      </c>
      <c r="D26" s="106" t="s">
        <v>73</v>
      </c>
      <c r="E26" s="112">
        <f>E21</f>
        <v>51.32</v>
      </c>
      <c r="F26" s="120"/>
      <c r="G26" s="121"/>
      <c r="H26" s="122">
        <f t="shared" si="0"/>
        <v>0</v>
      </c>
      <c r="I26" s="121"/>
      <c r="J26" s="121"/>
      <c r="K26" s="179">
        <f t="shared" si="1"/>
        <v>0</v>
      </c>
      <c r="L26" s="184">
        <f t="shared" si="2"/>
        <v>0</v>
      </c>
      <c r="M26" s="121">
        <f t="shared" si="3"/>
        <v>0</v>
      </c>
      <c r="N26" s="121">
        <f t="shared" si="4"/>
        <v>0</v>
      </c>
      <c r="O26" s="121">
        <f t="shared" si="5"/>
        <v>0</v>
      </c>
      <c r="P26" s="123">
        <f t="shared" si="6"/>
        <v>0</v>
      </c>
    </row>
    <row r="27" spans="1:16" ht="13.2" x14ac:dyDescent="0.2">
      <c r="A27" s="110">
        <v>13</v>
      </c>
      <c r="B27" s="106"/>
      <c r="C27" s="99" t="s">
        <v>113</v>
      </c>
      <c r="D27" s="106" t="s">
        <v>96</v>
      </c>
      <c r="E27" s="112">
        <f>E26*0.12</f>
        <v>6.1583999999999994</v>
      </c>
      <c r="F27" s="120"/>
      <c r="G27" s="121"/>
      <c r="H27" s="122"/>
      <c r="I27" s="121"/>
      <c r="J27" s="121"/>
      <c r="K27" s="179">
        <f t="shared" si="1"/>
        <v>0</v>
      </c>
      <c r="L27" s="184">
        <f t="shared" si="2"/>
        <v>0</v>
      </c>
      <c r="M27" s="121">
        <f t="shared" si="3"/>
        <v>0</v>
      </c>
      <c r="N27" s="121">
        <f t="shared" si="4"/>
        <v>0</v>
      </c>
      <c r="O27" s="121">
        <f t="shared" si="5"/>
        <v>0</v>
      </c>
      <c r="P27" s="123">
        <f t="shared" si="6"/>
        <v>0</v>
      </c>
    </row>
    <row r="28" spans="1:16" ht="13.2" x14ac:dyDescent="0.2">
      <c r="A28" s="110">
        <v>14</v>
      </c>
      <c r="B28" s="106"/>
      <c r="C28" s="99" t="s">
        <v>376</v>
      </c>
      <c r="D28" s="106" t="s">
        <v>99</v>
      </c>
      <c r="E28" s="112">
        <f>E26*4.5</f>
        <v>230.94</v>
      </c>
      <c r="F28" s="120"/>
      <c r="G28" s="121"/>
      <c r="H28" s="122"/>
      <c r="I28" s="121"/>
      <c r="J28" s="121"/>
      <c r="K28" s="179">
        <f t="shared" si="1"/>
        <v>0</v>
      </c>
      <c r="L28" s="184">
        <f t="shared" si="2"/>
        <v>0</v>
      </c>
      <c r="M28" s="121">
        <f t="shared" si="3"/>
        <v>0</v>
      </c>
      <c r="N28" s="121">
        <f t="shared" si="4"/>
        <v>0</v>
      </c>
      <c r="O28" s="121">
        <f t="shared" si="5"/>
        <v>0</v>
      </c>
      <c r="P28" s="123">
        <f t="shared" si="6"/>
        <v>0</v>
      </c>
    </row>
    <row r="29" spans="1:16" ht="13.2" x14ac:dyDescent="0.2">
      <c r="A29" s="110">
        <v>15</v>
      </c>
      <c r="B29" s="106"/>
      <c r="C29" s="99" t="s">
        <v>101</v>
      </c>
      <c r="D29" s="106" t="s">
        <v>73</v>
      </c>
      <c r="E29" s="112">
        <f>E26*1.2</f>
        <v>61.583999999999996</v>
      </c>
      <c r="F29" s="120"/>
      <c r="G29" s="121"/>
      <c r="H29" s="122"/>
      <c r="I29" s="121"/>
      <c r="J29" s="121"/>
      <c r="K29" s="179">
        <f t="shared" si="1"/>
        <v>0</v>
      </c>
      <c r="L29" s="184">
        <f t="shared" si="2"/>
        <v>0</v>
      </c>
      <c r="M29" s="121">
        <f t="shared" si="3"/>
        <v>0</v>
      </c>
      <c r="N29" s="121">
        <f t="shared" si="4"/>
        <v>0</v>
      </c>
      <c r="O29" s="121">
        <f t="shared" si="5"/>
        <v>0</v>
      </c>
      <c r="P29" s="123">
        <f t="shared" si="6"/>
        <v>0</v>
      </c>
    </row>
    <row r="30" spans="1:16" ht="13.2" x14ac:dyDescent="0.2">
      <c r="A30" s="110">
        <v>16</v>
      </c>
      <c r="B30" s="106"/>
      <c r="C30" s="99" t="s">
        <v>115</v>
      </c>
      <c r="D30" s="106" t="s">
        <v>62</v>
      </c>
      <c r="E30" s="112">
        <f>1.1*1.1</f>
        <v>1.2100000000000002</v>
      </c>
      <c r="F30" s="120"/>
      <c r="G30" s="121"/>
      <c r="H30" s="122"/>
      <c r="I30" s="121"/>
      <c r="J30" s="121"/>
      <c r="K30" s="179">
        <f t="shared" si="1"/>
        <v>0</v>
      </c>
      <c r="L30" s="184">
        <f t="shared" si="2"/>
        <v>0</v>
      </c>
      <c r="M30" s="121">
        <f t="shared" si="3"/>
        <v>0</v>
      </c>
      <c r="N30" s="121">
        <f t="shared" si="4"/>
        <v>0</v>
      </c>
      <c r="O30" s="121">
        <f t="shared" si="5"/>
        <v>0</v>
      </c>
      <c r="P30" s="123">
        <f t="shared" si="6"/>
        <v>0</v>
      </c>
    </row>
    <row r="31" spans="1:16" ht="13.2" x14ac:dyDescent="0.2">
      <c r="A31" s="110">
        <v>17</v>
      </c>
      <c r="B31" s="106" t="s">
        <v>60</v>
      </c>
      <c r="C31" s="100" t="s">
        <v>117</v>
      </c>
      <c r="D31" s="106" t="s">
        <v>73</v>
      </c>
      <c r="E31" s="112">
        <v>20.079999999999998</v>
      </c>
      <c r="F31" s="120"/>
      <c r="G31" s="121"/>
      <c r="H31" s="122">
        <f t="shared" si="0"/>
        <v>0</v>
      </c>
      <c r="I31" s="121"/>
      <c r="J31" s="121"/>
      <c r="K31" s="179">
        <f t="shared" si="1"/>
        <v>0</v>
      </c>
      <c r="L31" s="184">
        <f t="shared" si="2"/>
        <v>0</v>
      </c>
      <c r="M31" s="121">
        <f t="shared" si="3"/>
        <v>0</v>
      </c>
      <c r="N31" s="121">
        <f t="shared" si="4"/>
        <v>0</v>
      </c>
      <c r="O31" s="121">
        <f t="shared" si="5"/>
        <v>0</v>
      </c>
      <c r="P31" s="123">
        <f t="shared" si="6"/>
        <v>0</v>
      </c>
    </row>
    <row r="32" spans="1:16" ht="26.4" x14ac:dyDescent="0.2">
      <c r="A32" s="110">
        <v>18</v>
      </c>
      <c r="B32" s="106"/>
      <c r="C32" s="99" t="s">
        <v>294</v>
      </c>
      <c r="D32" s="106" t="s">
        <v>96</v>
      </c>
      <c r="E32" s="112">
        <f>E31*0.15</f>
        <v>3.0119999999999996</v>
      </c>
      <c r="F32" s="120"/>
      <c r="G32" s="121"/>
      <c r="H32" s="122"/>
      <c r="I32" s="121"/>
      <c r="J32" s="121"/>
      <c r="K32" s="179">
        <f t="shared" si="1"/>
        <v>0</v>
      </c>
      <c r="L32" s="184">
        <f t="shared" si="2"/>
        <v>0</v>
      </c>
      <c r="M32" s="121">
        <f t="shared" si="3"/>
        <v>0</v>
      </c>
      <c r="N32" s="121">
        <f t="shared" si="4"/>
        <v>0</v>
      </c>
      <c r="O32" s="121">
        <f t="shared" si="5"/>
        <v>0</v>
      </c>
      <c r="P32" s="123">
        <f t="shared" si="6"/>
        <v>0</v>
      </c>
    </row>
    <row r="33" spans="1:16" ht="26.4" x14ac:dyDescent="0.2">
      <c r="A33" s="110">
        <v>19</v>
      </c>
      <c r="B33" s="106"/>
      <c r="C33" s="99" t="s">
        <v>405</v>
      </c>
      <c r="D33" s="106" t="s">
        <v>99</v>
      </c>
      <c r="E33" s="112">
        <f>E31*4</f>
        <v>80.319999999999993</v>
      </c>
      <c r="F33" s="120"/>
      <c r="G33" s="121"/>
      <c r="H33" s="122"/>
      <c r="I33" s="121"/>
      <c r="J33" s="121"/>
      <c r="K33" s="179">
        <f t="shared" si="1"/>
        <v>0</v>
      </c>
      <c r="L33" s="184">
        <f t="shared" si="2"/>
        <v>0</v>
      </c>
      <c r="M33" s="121">
        <f t="shared" si="3"/>
        <v>0</v>
      </c>
      <c r="N33" s="121">
        <f t="shared" si="4"/>
        <v>0</v>
      </c>
      <c r="O33" s="121">
        <f t="shared" si="5"/>
        <v>0</v>
      </c>
      <c r="P33" s="123">
        <f t="shared" si="6"/>
        <v>0</v>
      </c>
    </row>
    <row r="34" spans="1:16" ht="26.4" x14ac:dyDescent="0.2">
      <c r="A34" s="163"/>
      <c r="B34" s="164"/>
      <c r="C34" s="165" t="s">
        <v>305</v>
      </c>
      <c r="D34" s="166"/>
      <c r="E34" s="167"/>
      <c r="F34" s="168"/>
      <c r="G34" s="169"/>
      <c r="H34" s="169"/>
      <c r="I34" s="169"/>
      <c r="J34" s="169"/>
      <c r="K34" s="192"/>
      <c r="L34" s="193"/>
      <c r="M34" s="169"/>
      <c r="N34" s="169"/>
      <c r="O34" s="169"/>
      <c r="P34" s="170"/>
    </row>
    <row r="35" spans="1:16" ht="39.6" x14ac:dyDescent="0.2">
      <c r="A35" s="110">
        <v>1</v>
      </c>
      <c r="B35" s="106" t="s">
        <v>60</v>
      </c>
      <c r="C35" s="100" t="s">
        <v>692</v>
      </c>
      <c r="D35" s="106" t="s">
        <v>62</v>
      </c>
      <c r="E35" s="112">
        <f>15.58+1.7+11.27+1.59+1.29+4.5+3.2+4.46</f>
        <v>43.59</v>
      </c>
      <c r="F35" s="120"/>
      <c r="G35" s="121"/>
      <c r="H35" s="122">
        <f>ROUND(F35*G35,2)</f>
        <v>0</v>
      </c>
      <c r="I35" s="121"/>
      <c r="J35" s="121"/>
      <c r="K35" s="179">
        <f>ROUND(H35+J35+I35,2)</f>
        <v>0</v>
      </c>
      <c r="L35" s="184">
        <f>ROUND(E35*F35,2)</f>
        <v>0</v>
      </c>
      <c r="M35" s="121">
        <f>ROUND(E35*H35,2)</f>
        <v>0</v>
      </c>
      <c r="N35" s="121">
        <f>ROUND(E35*I35,2)</f>
        <v>0</v>
      </c>
      <c r="O35" s="121">
        <f>ROUND(E35*J35,2)</f>
        <v>0</v>
      </c>
      <c r="P35" s="123">
        <f>ROUND(O35+N35+M35,2)</f>
        <v>0</v>
      </c>
    </row>
    <row r="36" spans="1:16" ht="13.2" x14ac:dyDescent="0.2">
      <c r="A36" s="110">
        <v>2</v>
      </c>
      <c r="B36" s="106" t="s">
        <v>60</v>
      </c>
      <c r="C36" s="100" t="s">
        <v>304</v>
      </c>
      <c r="D36" s="106" t="s">
        <v>73</v>
      </c>
      <c r="E36" s="112">
        <v>43.06</v>
      </c>
      <c r="F36" s="120"/>
      <c r="G36" s="121"/>
      <c r="H36" s="122">
        <f t="shared" ref="H36:H38" si="13">ROUND(F36*G36,2)</f>
        <v>0</v>
      </c>
      <c r="I36" s="121"/>
      <c r="J36" s="121"/>
      <c r="K36" s="179">
        <f>ROUND(H36+J36+I36,2)</f>
        <v>0</v>
      </c>
      <c r="L36" s="184">
        <f>ROUND(E36*F36,2)</f>
        <v>0</v>
      </c>
      <c r="M36" s="121">
        <f>ROUND(E36*H36,2)</f>
        <v>0</v>
      </c>
      <c r="N36" s="121">
        <f>ROUND(E36*I36,2)</f>
        <v>0</v>
      </c>
      <c r="O36" s="121">
        <f>ROUND(E36*J36,2)</f>
        <v>0</v>
      </c>
      <c r="P36" s="123">
        <f>ROUND(O36+N36+M36,2)</f>
        <v>0</v>
      </c>
    </row>
    <row r="37" spans="1:16" ht="26.4" x14ac:dyDescent="0.2">
      <c r="A37" s="110">
        <v>3</v>
      </c>
      <c r="B37" s="106" t="s">
        <v>60</v>
      </c>
      <c r="C37" s="100" t="s">
        <v>123</v>
      </c>
      <c r="D37" s="106" t="s">
        <v>73</v>
      </c>
      <c r="E37" s="112">
        <f>E36</f>
        <v>43.06</v>
      </c>
      <c r="F37" s="120"/>
      <c r="G37" s="121"/>
      <c r="H37" s="122">
        <f t="shared" si="13"/>
        <v>0</v>
      </c>
      <c r="I37" s="121"/>
      <c r="J37" s="121"/>
      <c r="K37" s="179">
        <f>ROUND(H37+J37+I37,2)</f>
        <v>0</v>
      </c>
      <c r="L37" s="184">
        <f>ROUND(E37*F37,2)</f>
        <v>0</v>
      </c>
      <c r="M37" s="121">
        <f>ROUND(E37*H37,2)</f>
        <v>0</v>
      </c>
      <c r="N37" s="121">
        <f>ROUND(E37*I37,2)</f>
        <v>0</v>
      </c>
      <c r="O37" s="121">
        <f>ROUND(E37*J37,2)</f>
        <v>0</v>
      </c>
      <c r="P37" s="123">
        <f>ROUND(O37+N37+M37,2)</f>
        <v>0</v>
      </c>
    </row>
    <row r="38" spans="1:16" ht="26.4" x14ac:dyDescent="0.2">
      <c r="A38" s="110">
        <v>4</v>
      </c>
      <c r="B38" s="106" t="s">
        <v>60</v>
      </c>
      <c r="C38" s="100" t="s">
        <v>107</v>
      </c>
      <c r="D38" s="106" t="s">
        <v>73</v>
      </c>
      <c r="E38" s="112">
        <f>E36</f>
        <v>43.06</v>
      </c>
      <c r="F38" s="120"/>
      <c r="G38" s="121"/>
      <c r="H38" s="122">
        <f t="shared" si="13"/>
        <v>0</v>
      </c>
      <c r="I38" s="121"/>
      <c r="J38" s="121"/>
      <c r="K38" s="179">
        <f>ROUND(H38+J38+I38,2)</f>
        <v>0</v>
      </c>
      <c r="L38" s="184">
        <f>ROUND(E38*F38,2)</f>
        <v>0</v>
      </c>
      <c r="M38" s="121">
        <f>ROUND(E38*H38,2)</f>
        <v>0</v>
      </c>
      <c r="N38" s="121">
        <f>ROUND(E38*I38,2)</f>
        <v>0</v>
      </c>
      <c r="O38" s="121">
        <f>ROUND(E38*J38,2)</f>
        <v>0</v>
      </c>
      <c r="P38" s="123">
        <f>ROUND(O38+N38+M38,2)</f>
        <v>0</v>
      </c>
    </row>
    <row r="39" spans="1:16" ht="13.2" x14ac:dyDescent="0.2">
      <c r="A39" s="110">
        <v>5</v>
      </c>
      <c r="B39" s="106"/>
      <c r="C39" s="99" t="s">
        <v>373</v>
      </c>
      <c r="D39" s="106" t="s">
        <v>96</v>
      </c>
      <c r="E39" s="112">
        <f>E38*0.12</f>
        <v>5.1672000000000002</v>
      </c>
      <c r="F39" s="120"/>
      <c r="G39" s="121"/>
      <c r="H39" s="122"/>
      <c r="I39" s="121"/>
      <c r="J39" s="121"/>
      <c r="K39" s="179">
        <f t="shared" ref="K39:K40" si="14">ROUND(H39+J39+I39,2)</f>
        <v>0</v>
      </c>
      <c r="L39" s="184">
        <f t="shared" ref="L39:L40" si="15">ROUND(E39*F39,2)</f>
        <v>0</v>
      </c>
      <c r="M39" s="121">
        <f t="shared" ref="M39:M40" si="16">ROUND(E39*H39,2)</f>
        <v>0</v>
      </c>
      <c r="N39" s="121">
        <f t="shared" ref="N39:N40" si="17">ROUND(E39*I39,2)</f>
        <v>0</v>
      </c>
      <c r="O39" s="121">
        <f t="shared" ref="O39:O40" si="18">ROUND(E39*J39,2)</f>
        <v>0</v>
      </c>
      <c r="P39" s="123">
        <f t="shared" ref="P39:P40" si="19">ROUND(O39+N39+M39,2)</f>
        <v>0</v>
      </c>
    </row>
    <row r="40" spans="1:16" ht="26.4" x14ac:dyDescent="0.2">
      <c r="A40" s="110">
        <v>6</v>
      </c>
      <c r="B40" s="106"/>
      <c r="C40" s="99" t="s">
        <v>391</v>
      </c>
      <c r="D40" s="106" t="s">
        <v>109</v>
      </c>
      <c r="E40" s="112">
        <f>E38*5</f>
        <v>215.3</v>
      </c>
      <c r="F40" s="120"/>
      <c r="G40" s="121"/>
      <c r="H40" s="122"/>
      <c r="I40" s="121"/>
      <c r="J40" s="121"/>
      <c r="K40" s="179">
        <f t="shared" si="14"/>
        <v>0</v>
      </c>
      <c r="L40" s="184">
        <f t="shared" si="15"/>
        <v>0</v>
      </c>
      <c r="M40" s="121">
        <f t="shared" si="16"/>
        <v>0</v>
      </c>
      <c r="N40" s="121">
        <f t="shared" si="17"/>
        <v>0</v>
      </c>
      <c r="O40" s="121">
        <f t="shared" si="18"/>
        <v>0</v>
      </c>
      <c r="P40" s="123">
        <f t="shared" si="19"/>
        <v>0</v>
      </c>
    </row>
    <row r="41" spans="1:16" ht="13.2" x14ac:dyDescent="0.2">
      <c r="A41" s="110">
        <v>7</v>
      </c>
      <c r="B41" s="106" t="s">
        <v>60</v>
      </c>
      <c r="C41" s="100" t="s">
        <v>124</v>
      </c>
      <c r="D41" s="106" t="s">
        <v>73</v>
      </c>
      <c r="E41" s="112">
        <f>E38</f>
        <v>43.06</v>
      </c>
      <c r="F41" s="120"/>
      <c r="G41" s="121"/>
      <c r="H41" s="122">
        <f t="shared" ref="H41" si="20">ROUND(F41*G41,2)</f>
        <v>0</v>
      </c>
      <c r="I41" s="121"/>
      <c r="J41" s="121"/>
      <c r="K41" s="179">
        <f>ROUND(H41+J41+I41,2)</f>
        <v>0</v>
      </c>
      <c r="L41" s="184">
        <f>ROUND(E41*F41,2)</f>
        <v>0</v>
      </c>
      <c r="M41" s="121">
        <f>ROUND(E41*H41,2)</f>
        <v>0</v>
      </c>
      <c r="N41" s="121">
        <f>ROUND(E41*I41,2)</f>
        <v>0</v>
      </c>
      <c r="O41" s="121">
        <f>ROUND(E41*J41,2)</f>
        <v>0</v>
      </c>
      <c r="P41" s="123">
        <f>ROUND(O41+N41+M41,2)</f>
        <v>0</v>
      </c>
    </row>
    <row r="42" spans="1:16" ht="13.2" x14ac:dyDescent="0.2">
      <c r="A42" s="110">
        <v>8</v>
      </c>
      <c r="B42" s="106"/>
      <c r="C42" s="99" t="s">
        <v>125</v>
      </c>
      <c r="D42" s="106" t="s">
        <v>126</v>
      </c>
      <c r="E42" s="112">
        <f>ROUND(E41/4,2)</f>
        <v>10.77</v>
      </c>
      <c r="F42" s="120"/>
      <c r="G42" s="121"/>
      <c r="H42" s="122"/>
      <c r="I42" s="121"/>
      <c r="J42" s="121"/>
      <c r="K42" s="179">
        <f t="shared" ref="K42:K53" si="21">ROUND(H42+J42+I42,2)</f>
        <v>0</v>
      </c>
      <c r="L42" s="184">
        <f t="shared" ref="L42:L53" si="22">ROUND(E42*F42,2)</f>
        <v>0</v>
      </c>
      <c r="M42" s="121">
        <f t="shared" ref="M42:M53" si="23">ROUND(E42*H42,2)</f>
        <v>0</v>
      </c>
      <c r="N42" s="121">
        <f t="shared" ref="N42:N53" si="24">ROUND(E42*I42,2)</f>
        <v>0</v>
      </c>
      <c r="O42" s="121">
        <f t="shared" ref="O42:O53" si="25">ROUND(E42*J42,2)</f>
        <v>0</v>
      </c>
      <c r="P42" s="123">
        <f t="shared" ref="P42:P53" si="26">ROUND(O42+N42+M42,2)</f>
        <v>0</v>
      </c>
    </row>
    <row r="43" spans="1:16" ht="26.4" x14ac:dyDescent="0.2">
      <c r="A43" s="110">
        <v>9</v>
      </c>
      <c r="B43" s="106"/>
      <c r="C43" s="99" t="s">
        <v>408</v>
      </c>
      <c r="D43" s="106" t="s">
        <v>64</v>
      </c>
      <c r="E43" s="112">
        <f>ROUND(E41*5.5,0)</f>
        <v>237</v>
      </c>
      <c r="F43" s="120"/>
      <c r="G43" s="121"/>
      <c r="H43" s="122"/>
      <c r="I43" s="121"/>
      <c r="J43" s="121"/>
      <c r="K43" s="179">
        <f t="shared" si="21"/>
        <v>0</v>
      </c>
      <c r="L43" s="184">
        <f t="shared" si="22"/>
        <v>0</v>
      </c>
      <c r="M43" s="121">
        <f t="shared" si="23"/>
        <v>0</v>
      </c>
      <c r="N43" s="121">
        <f t="shared" si="24"/>
        <v>0</v>
      </c>
      <c r="O43" s="121">
        <f t="shared" si="25"/>
        <v>0</v>
      </c>
      <c r="P43" s="123">
        <f t="shared" si="26"/>
        <v>0</v>
      </c>
    </row>
    <row r="44" spans="1:16" ht="13.2" x14ac:dyDescent="0.2">
      <c r="A44" s="110">
        <v>10</v>
      </c>
      <c r="B44" s="106"/>
      <c r="C44" s="99" t="s">
        <v>121</v>
      </c>
      <c r="D44" s="106" t="s">
        <v>64</v>
      </c>
      <c r="E44" s="112">
        <f>E43</f>
        <v>237</v>
      </c>
      <c r="F44" s="120"/>
      <c r="G44" s="121"/>
      <c r="H44" s="122"/>
      <c r="I44" s="121"/>
      <c r="J44" s="121"/>
      <c r="K44" s="179">
        <f t="shared" si="21"/>
        <v>0</v>
      </c>
      <c r="L44" s="184">
        <f t="shared" si="22"/>
        <v>0</v>
      </c>
      <c r="M44" s="121">
        <f t="shared" si="23"/>
        <v>0</v>
      </c>
      <c r="N44" s="121">
        <f t="shared" si="24"/>
        <v>0</v>
      </c>
      <c r="O44" s="121">
        <f t="shared" si="25"/>
        <v>0</v>
      </c>
      <c r="P44" s="123">
        <f t="shared" si="26"/>
        <v>0</v>
      </c>
    </row>
    <row r="45" spans="1:16" ht="26.4" x14ac:dyDescent="0.2">
      <c r="A45" s="110">
        <v>11</v>
      </c>
      <c r="B45" s="106"/>
      <c r="C45" s="99" t="s">
        <v>375</v>
      </c>
      <c r="D45" s="106" t="s">
        <v>73</v>
      </c>
      <c r="E45" s="112">
        <f>E41*1.02</f>
        <v>43.921200000000006</v>
      </c>
      <c r="F45" s="120"/>
      <c r="G45" s="121"/>
      <c r="H45" s="122"/>
      <c r="I45" s="121"/>
      <c r="J45" s="121"/>
      <c r="K45" s="179">
        <f t="shared" si="21"/>
        <v>0</v>
      </c>
      <c r="L45" s="184">
        <f t="shared" si="22"/>
        <v>0</v>
      </c>
      <c r="M45" s="121">
        <f t="shared" si="23"/>
        <v>0</v>
      </c>
      <c r="N45" s="121">
        <f t="shared" si="24"/>
        <v>0</v>
      </c>
      <c r="O45" s="121">
        <f t="shared" si="25"/>
        <v>0</v>
      </c>
      <c r="P45" s="123">
        <f t="shared" si="26"/>
        <v>0</v>
      </c>
    </row>
    <row r="46" spans="1:16" ht="13.2" x14ac:dyDescent="0.2">
      <c r="A46" s="110">
        <v>12</v>
      </c>
      <c r="B46" s="106" t="s">
        <v>60</v>
      </c>
      <c r="C46" s="100" t="s">
        <v>112</v>
      </c>
      <c r="D46" s="106" t="s">
        <v>73</v>
      </c>
      <c r="E46" s="112">
        <f>E41</f>
        <v>43.06</v>
      </c>
      <c r="F46" s="120"/>
      <c r="G46" s="121"/>
      <c r="H46" s="122">
        <f t="shared" ref="H46" si="27">ROUND(F46*G46,2)</f>
        <v>0</v>
      </c>
      <c r="I46" s="121"/>
      <c r="J46" s="121"/>
      <c r="K46" s="179">
        <f t="shared" si="21"/>
        <v>0</v>
      </c>
      <c r="L46" s="184">
        <f t="shared" si="22"/>
        <v>0</v>
      </c>
      <c r="M46" s="121">
        <f t="shared" si="23"/>
        <v>0</v>
      </c>
      <c r="N46" s="121">
        <f t="shared" si="24"/>
        <v>0</v>
      </c>
      <c r="O46" s="121">
        <f t="shared" si="25"/>
        <v>0</v>
      </c>
      <c r="P46" s="123">
        <f t="shared" si="26"/>
        <v>0</v>
      </c>
    </row>
    <row r="47" spans="1:16" ht="13.2" x14ac:dyDescent="0.2">
      <c r="A47" s="110">
        <v>13</v>
      </c>
      <c r="B47" s="106"/>
      <c r="C47" s="99" t="s">
        <v>113</v>
      </c>
      <c r="D47" s="106" t="s">
        <v>96</v>
      </c>
      <c r="E47" s="112">
        <f>E46*0.12</f>
        <v>5.1672000000000002</v>
      </c>
      <c r="F47" s="120"/>
      <c r="G47" s="121"/>
      <c r="H47" s="122"/>
      <c r="I47" s="121"/>
      <c r="J47" s="121"/>
      <c r="K47" s="179">
        <f t="shared" si="21"/>
        <v>0</v>
      </c>
      <c r="L47" s="184">
        <f t="shared" si="22"/>
        <v>0</v>
      </c>
      <c r="M47" s="121">
        <f t="shared" si="23"/>
        <v>0</v>
      </c>
      <c r="N47" s="121">
        <f t="shared" si="24"/>
        <v>0</v>
      </c>
      <c r="O47" s="121">
        <f t="shared" si="25"/>
        <v>0</v>
      </c>
      <c r="P47" s="123">
        <f t="shared" si="26"/>
        <v>0</v>
      </c>
    </row>
    <row r="48" spans="1:16" ht="13.2" x14ac:dyDescent="0.2">
      <c r="A48" s="110">
        <v>14</v>
      </c>
      <c r="B48" s="106"/>
      <c r="C48" s="99" t="s">
        <v>376</v>
      </c>
      <c r="D48" s="106" t="s">
        <v>99</v>
      </c>
      <c r="E48" s="112">
        <f>E46*4.5</f>
        <v>193.77</v>
      </c>
      <c r="F48" s="120"/>
      <c r="G48" s="121"/>
      <c r="H48" s="122"/>
      <c r="I48" s="121"/>
      <c r="J48" s="121"/>
      <c r="K48" s="179">
        <f t="shared" si="21"/>
        <v>0</v>
      </c>
      <c r="L48" s="184">
        <f t="shared" si="22"/>
        <v>0</v>
      </c>
      <c r="M48" s="121">
        <f t="shared" si="23"/>
        <v>0</v>
      </c>
      <c r="N48" s="121">
        <f t="shared" si="24"/>
        <v>0</v>
      </c>
      <c r="O48" s="121">
        <f t="shared" si="25"/>
        <v>0</v>
      </c>
      <c r="P48" s="123">
        <f t="shared" si="26"/>
        <v>0</v>
      </c>
    </row>
    <row r="49" spans="1:16" ht="13.2" x14ac:dyDescent="0.2">
      <c r="A49" s="110">
        <v>15</v>
      </c>
      <c r="B49" s="106"/>
      <c r="C49" s="99" t="s">
        <v>101</v>
      </c>
      <c r="D49" s="106" t="s">
        <v>73</v>
      </c>
      <c r="E49" s="112">
        <f>E46*1.2</f>
        <v>51.672000000000004</v>
      </c>
      <c r="F49" s="120"/>
      <c r="G49" s="121"/>
      <c r="H49" s="122"/>
      <c r="I49" s="121"/>
      <c r="J49" s="121"/>
      <c r="K49" s="179">
        <f t="shared" si="21"/>
        <v>0</v>
      </c>
      <c r="L49" s="184">
        <f t="shared" si="22"/>
        <v>0</v>
      </c>
      <c r="M49" s="121">
        <f t="shared" si="23"/>
        <v>0</v>
      </c>
      <c r="N49" s="121">
        <f t="shared" si="24"/>
        <v>0</v>
      </c>
      <c r="O49" s="121">
        <f t="shared" si="25"/>
        <v>0</v>
      </c>
      <c r="P49" s="123">
        <f t="shared" si="26"/>
        <v>0</v>
      </c>
    </row>
    <row r="50" spans="1:16" ht="13.2" x14ac:dyDescent="0.2">
      <c r="A50" s="110">
        <v>16</v>
      </c>
      <c r="B50" s="106"/>
      <c r="C50" s="99" t="s">
        <v>115</v>
      </c>
      <c r="D50" s="106" t="s">
        <v>62</v>
      </c>
      <c r="E50" s="112">
        <f>1.5*1.1+2*1.1</f>
        <v>3.8500000000000005</v>
      </c>
      <c r="F50" s="120"/>
      <c r="G50" s="121"/>
      <c r="H50" s="122"/>
      <c r="I50" s="121"/>
      <c r="J50" s="121"/>
      <c r="K50" s="179">
        <f t="shared" si="21"/>
        <v>0</v>
      </c>
      <c r="L50" s="184">
        <f t="shared" si="22"/>
        <v>0</v>
      </c>
      <c r="M50" s="121">
        <f t="shared" si="23"/>
        <v>0</v>
      </c>
      <c r="N50" s="121">
        <f t="shared" si="24"/>
        <v>0</v>
      </c>
      <c r="O50" s="121">
        <f t="shared" si="25"/>
        <v>0</v>
      </c>
      <c r="P50" s="123">
        <f t="shared" si="26"/>
        <v>0</v>
      </c>
    </row>
    <row r="51" spans="1:16" ht="13.2" x14ac:dyDescent="0.2">
      <c r="A51" s="110">
        <v>17</v>
      </c>
      <c r="B51" s="106" t="s">
        <v>60</v>
      </c>
      <c r="C51" s="100" t="s">
        <v>117</v>
      </c>
      <c r="D51" s="106" t="s">
        <v>73</v>
      </c>
      <c r="E51" s="112">
        <v>18.3</v>
      </c>
      <c r="F51" s="120"/>
      <c r="G51" s="121"/>
      <c r="H51" s="122">
        <f t="shared" ref="H51" si="28">ROUND(F51*G51,2)</f>
        <v>0</v>
      </c>
      <c r="I51" s="121"/>
      <c r="J51" s="121"/>
      <c r="K51" s="179">
        <f t="shared" si="21"/>
        <v>0</v>
      </c>
      <c r="L51" s="184">
        <f t="shared" si="22"/>
        <v>0</v>
      </c>
      <c r="M51" s="121">
        <f t="shared" si="23"/>
        <v>0</v>
      </c>
      <c r="N51" s="121">
        <f t="shared" si="24"/>
        <v>0</v>
      </c>
      <c r="O51" s="121">
        <f t="shared" si="25"/>
        <v>0</v>
      </c>
      <c r="P51" s="123">
        <f t="shared" si="26"/>
        <v>0</v>
      </c>
    </row>
    <row r="52" spans="1:16" ht="26.4" x14ac:dyDescent="0.2">
      <c r="A52" s="110">
        <v>18</v>
      </c>
      <c r="B52" s="106"/>
      <c r="C52" s="99" t="s">
        <v>294</v>
      </c>
      <c r="D52" s="106" t="s">
        <v>96</v>
      </c>
      <c r="E52" s="112">
        <f>E51*0.15</f>
        <v>2.7450000000000001</v>
      </c>
      <c r="F52" s="120"/>
      <c r="G52" s="121"/>
      <c r="H52" s="122"/>
      <c r="I52" s="121"/>
      <c r="J52" s="121"/>
      <c r="K52" s="179">
        <f t="shared" si="21"/>
        <v>0</v>
      </c>
      <c r="L52" s="184">
        <f t="shared" si="22"/>
        <v>0</v>
      </c>
      <c r="M52" s="121">
        <f t="shared" si="23"/>
        <v>0</v>
      </c>
      <c r="N52" s="121">
        <f t="shared" si="24"/>
        <v>0</v>
      </c>
      <c r="O52" s="121">
        <f t="shared" si="25"/>
        <v>0</v>
      </c>
      <c r="P52" s="123">
        <f t="shared" si="26"/>
        <v>0</v>
      </c>
    </row>
    <row r="53" spans="1:16" ht="26.4" x14ac:dyDescent="0.2">
      <c r="A53" s="110">
        <v>19</v>
      </c>
      <c r="B53" s="106"/>
      <c r="C53" s="99" t="s">
        <v>405</v>
      </c>
      <c r="D53" s="106" t="s">
        <v>99</v>
      </c>
      <c r="E53" s="112">
        <f>E51*4</f>
        <v>73.2</v>
      </c>
      <c r="F53" s="120"/>
      <c r="G53" s="121"/>
      <c r="H53" s="122"/>
      <c r="I53" s="121"/>
      <c r="J53" s="121"/>
      <c r="K53" s="179">
        <f t="shared" si="21"/>
        <v>0</v>
      </c>
      <c r="L53" s="184">
        <f t="shared" si="22"/>
        <v>0</v>
      </c>
      <c r="M53" s="121">
        <f t="shared" si="23"/>
        <v>0</v>
      </c>
      <c r="N53" s="121">
        <f t="shared" si="24"/>
        <v>0</v>
      </c>
      <c r="O53" s="121">
        <f t="shared" si="25"/>
        <v>0</v>
      </c>
      <c r="P53" s="123">
        <f t="shared" si="26"/>
        <v>0</v>
      </c>
    </row>
    <row r="54" spans="1:16" ht="26.4" x14ac:dyDescent="0.2">
      <c r="A54" s="163"/>
      <c r="B54" s="164"/>
      <c r="C54" s="165" t="s">
        <v>306</v>
      </c>
      <c r="D54" s="166"/>
      <c r="E54" s="167"/>
      <c r="F54" s="168"/>
      <c r="G54" s="169"/>
      <c r="H54" s="169"/>
      <c r="I54" s="169"/>
      <c r="J54" s="169"/>
      <c r="K54" s="192"/>
      <c r="L54" s="193"/>
      <c r="M54" s="169"/>
      <c r="N54" s="169"/>
      <c r="O54" s="169"/>
      <c r="P54" s="170"/>
    </row>
    <row r="55" spans="1:16" ht="39.6" x14ac:dyDescent="0.2">
      <c r="A55" s="110">
        <v>1</v>
      </c>
      <c r="B55" s="106" t="s">
        <v>60</v>
      </c>
      <c r="C55" s="100" t="s">
        <v>303</v>
      </c>
      <c r="D55" s="106" t="s">
        <v>62</v>
      </c>
      <c r="E55" s="112">
        <v>6</v>
      </c>
      <c r="F55" s="120"/>
      <c r="G55" s="121"/>
      <c r="H55" s="122">
        <f>ROUND(F55*G55,2)</f>
        <v>0</v>
      </c>
      <c r="I55" s="121"/>
      <c r="J55" s="121"/>
      <c r="K55" s="179">
        <f>ROUND(H55+J55+I55,2)</f>
        <v>0</v>
      </c>
      <c r="L55" s="184">
        <f>ROUND(E55*F55,2)</f>
        <v>0</v>
      </c>
      <c r="M55" s="121">
        <f>ROUND(E55*H55,2)</f>
        <v>0</v>
      </c>
      <c r="N55" s="121">
        <f>ROUND(E55*I55,2)</f>
        <v>0</v>
      </c>
      <c r="O55" s="121">
        <f>ROUND(E55*J55,2)</f>
        <v>0</v>
      </c>
      <c r="P55" s="123">
        <f>ROUND(O55+N55+M55,2)</f>
        <v>0</v>
      </c>
    </row>
    <row r="56" spans="1:16" ht="13.2" x14ac:dyDescent="0.2">
      <c r="A56" s="110">
        <v>2</v>
      </c>
      <c r="B56" s="106" t="s">
        <v>60</v>
      </c>
      <c r="C56" s="100" t="s">
        <v>304</v>
      </c>
      <c r="D56" s="106" t="s">
        <v>73</v>
      </c>
      <c r="E56" s="112">
        <v>6.6</v>
      </c>
      <c r="F56" s="120"/>
      <c r="G56" s="121"/>
      <c r="H56" s="122">
        <f t="shared" ref="H56:H58" si="29">ROUND(F56*G56,2)</f>
        <v>0</v>
      </c>
      <c r="I56" s="121"/>
      <c r="J56" s="121"/>
      <c r="K56" s="179">
        <f>ROUND(H56+J56+I56,2)</f>
        <v>0</v>
      </c>
      <c r="L56" s="184">
        <f>ROUND(E56*F56,2)</f>
        <v>0</v>
      </c>
      <c r="M56" s="121">
        <f>ROUND(E56*H56,2)</f>
        <v>0</v>
      </c>
      <c r="N56" s="121">
        <f>ROUND(E56*I56,2)</f>
        <v>0</v>
      </c>
      <c r="O56" s="121">
        <f>ROUND(E56*J56,2)</f>
        <v>0</v>
      </c>
      <c r="P56" s="123">
        <f>ROUND(O56+N56+M56,2)</f>
        <v>0</v>
      </c>
    </row>
    <row r="57" spans="1:16" ht="26.4" x14ac:dyDescent="0.2">
      <c r="A57" s="110">
        <v>3</v>
      </c>
      <c r="B57" s="106" t="s">
        <v>60</v>
      </c>
      <c r="C57" s="100" t="s">
        <v>123</v>
      </c>
      <c r="D57" s="106" t="s">
        <v>73</v>
      </c>
      <c r="E57" s="112">
        <f>E56</f>
        <v>6.6</v>
      </c>
      <c r="F57" s="120"/>
      <c r="G57" s="121"/>
      <c r="H57" s="122">
        <f t="shared" si="29"/>
        <v>0</v>
      </c>
      <c r="I57" s="121"/>
      <c r="J57" s="121"/>
      <c r="K57" s="179">
        <f>ROUND(H57+J57+I57,2)</f>
        <v>0</v>
      </c>
      <c r="L57" s="184">
        <f>ROUND(E57*F57,2)</f>
        <v>0</v>
      </c>
      <c r="M57" s="121">
        <f>ROUND(E57*H57,2)</f>
        <v>0</v>
      </c>
      <c r="N57" s="121">
        <f>ROUND(E57*I57,2)</f>
        <v>0</v>
      </c>
      <c r="O57" s="121">
        <f>ROUND(E57*J57,2)</f>
        <v>0</v>
      </c>
      <c r="P57" s="123">
        <f>ROUND(O57+N57+M57,2)</f>
        <v>0</v>
      </c>
    </row>
    <row r="58" spans="1:16" ht="26.4" x14ac:dyDescent="0.2">
      <c r="A58" s="110">
        <v>4</v>
      </c>
      <c r="B58" s="106" t="s">
        <v>60</v>
      </c>
      <c r="C58" s="100" t="s">
        <v>107</v>
      </c>
      <c r="D58" s="106" t="s">
        <v>73</v>
      </c>
      <c r="E58" s="112">
        <f>E56</f>
        <v>6.6</v>
      </c>
      <c r="F58" s="120"/>
      <c r="G58" s="121"/>
      <c r="H58" s="122">
        <f t="shared" si="29"/>
        <v>0</v>
      </c>
      <c r="I58" s="121"/>
      <c r="J58" s="121"/>
      <c r="K58" s="179">
        <f>ROUND(H58+J58+I58,2)</f>
        <v>0</v>
      </c>
      <c r="L58" s="184">
        <f>ROUND(E58*F58,2)</f>
        <v>0</v>
      </c>
      <c r="M58" s="121">
        <f>ROUND(E58*H58,2)</f>
        <v>0</v>
      </c>
      <c r="N58" s="121">
        <f>ROUND(E58*I58,2)</f>
        <v>0</v>
      </c>
      <c r="O58" s="121">
        <f>ROUND(E58*J58,2)</f>
        <v>0</v>
      </c>
      <c r="P58" s="123">
        <f>ROUND(O58+N58+M58,2)</f>
        <v>0</v>
      </c>
    </row>
    <row r="59" spans="1:16" ht="13.2" x14ac:dyDescent="0.2">
      <c r="A59" s="110">
        <v>5</v>
      </c>
      <c r="B59" s="106"/>
      <c r="C59" s="99" t="s">
        <v>373</v>
      </c>
      <c r="D59" s="106" t="s">
        <v>96</v>
      </c>
      <c r="E59" s="112">
        <f>E58*0.12</f>
        <v>0.79199999999999993</v>
      </c>
      <c r="F59" s="120"/>
      <c r="G59" s="121"/>
      <c r="H59" s="122"/>
      <c r="I59" s="121"/>
      <c r="J59" s="121"/>
      <c r="K59" s="179">
        <f t="shared" ref="K59:K60" si="30">ROUND(H59+J59+I59,2)</f>
        <v>0</v>
      </c>
      <c r="L59" s="184">
        <f t="shared" ref="L59:L60" si="31">ROUND(E59*F59,2)</f>
        <v>0</v>
      </c>
      <c r="M59" s="121">
        <f t="shared" ref="M59:M60" si="32">ROUND(E59*H59,2)</f>
        <v>0</v>
      </c>
      <c r="N59" s="121">
        <f t="shared" ref="N59:N60" si="33">ROUND(E59*I59,2)</f>
        <v>0</v>
      </c>
      <c r="O59" s="121">
        <f t="shared" ref="O59:O60" si="34">ROUND(E59*J59,2)</f>
        <v>0</v>
      </c>
      <c r="P59" s="123">
        <f t="shared" ref="P59:P60" si="35">ROUND(O59+N59+M59,2)</f>
        <v>0</v>
      </c>
    </row>
    <row r="60" spans="1:16" ht="26.4" x14ac:dyDescent="0.2">
      <c r="A60" s="110">
        <v>6</v>
      </c>
      <c r="B60" s="106"/>
      <c r="C60" s="99" t="s">
        <v>391</v>
      </c>
      <c r="D60" s="106" t="s">
        <v>109</v>
      </c>
      <c r="E60" s="112">
        <f>E58*5</f>
        <v>33</v>
      </c>
      <c r="F60" s="120"/>
      <c r="G60" s="121"/>
      <c r="H60" s="122"/>
      <c r="I60" s="121"/>
      <c r="J60" s="121"/>
      <c r="K60" s="179">
        <f t="shared" si="30"/>
        <v>0</v>
      </c>
      <c r="L60" s="184">
        <f t="shared" si="31"/>
        <v>0</v>
      </c>
      <c r="M60" s="121">
        <f t="shared" si="32"/>
        <v>0</v>
      </c>
      <c r="N60" s="121">
        <f t="shared" si="33"/>
        <v>0</v>
      </c>
      <c r="O60" s="121">
        <f t="shared" si="34"/>
        <v>0</v>
      </c>
      <c r="P60" s="123">
        <f t="shared" si="35"/>
        <v>0</v>
      </c>
    </row>
    <row r="61" spans="1:16" ht="13.2" x14ac:dyDescent="0.2">
      <c r="A61" s="110">
        <v>7</v>
      </c>
      <c r="B61" s="106" t="s">
        <v>60</v>
      </c>
      <c r="C61" s="100" t="s">
        <v>124</v>
      </c>
      <c r="D61" s="106" t="s">
        <v>73</v>
      </c>
      <c r="E61" s="112">
        <f>E58</f>
        <v>6.6</v>
      </c>
      <c r="F61" s="120"/>
      <c r="G61" s="121"/>
      <c r="H61" s="122">
        <f t="shared" ref="H61" si="36">ROUND(F61*G61,2)</f>
        <v>0</v>
      </c>
      <c r="I61" s="121"/>
      <c r="J61" s="121"/>
      <c r="K61" s="179">
        <f>ROUND(H61+J61+I61,2)</f>
        <v>0</v>
      </c>
      <c r="L61" s="184">
        <f>ROUND(E61*F61,2)</f>
        <v>0</v>
      </c>
      <c r="M61" s="121">
        <f>ROUND(E61*H61,2)</f>
        <v>0</v>
      </c>
      <c r="N61" s="121">
        <f>ROUND(E61*I61,2)</f>
        <v>0</v>
      </c>
      <c r="O61" s="121">
        <f>ROUND(E61*J61,2)</f>
        <v>0</v>
      </c>
      <c r="P61" s="123">
        <f>ROUND(O61+N61+M61,2)</f>
        <v>0</v>
      </c>
    </row>
    <row r="62" spans="1:16" ht="13.2" x14ac:dyDescent="0.2">
      <c r="A62" s="110">
        <v>8</v>
      </c>
      <c r="B62" s="106"/>
      <c r="C62" s="99" t="s">
        <v>125</v>
      </c>
      <c r="D62" s="106" t="s">
        <v>126</v>
      </c>
      <c r="E62" s="112">
        <f>ROUND(E61/4,2)</f>
        <v>1.65</v>
      </c>
      <c r="F62" s="120"/>
      <c r="G62" s="121"/>
      <c r="H62" s="122"/>
      <c r="I62" s="121"/>
      <c r="J62" s="121"/>
      <c r="K62" s="179">
        <f t="shared" ref="K62:K73" si="37">ROUND(H62+J62+I62,2)</f>
        <v>0</v>
      </c>
      <c r="L62" s="184">
        <f t="shared" ref="L62:L73" si="38">ROUND(E62*F62,2)</f>
        <v>0</v>
      </c>
      <c r="M62" s="121">
        <f t="shared" ref="M62:M73" si="39">ROUND(E62*H62,2)</f>
        <v>0</v>
      </c>
      <c r="N62" s="121">
        <f t="shared" ref="N62:N73" si="40">ROUND(E62*I62,2)</f>
        <v>0</v>
      </c>
      <c r="O62" s="121">
        <f t="shared" ref="O62:O73" si="41">ROUND(E62*J62,2)</f>
        <v>0</v>
      </c>
      <c r="P62" s="123">
        <f t="shared" ref="P62:P73" si="42">ROUND(O62+N62+M62,2)</f>
        <v>0</v>
      </c>
    </row>
    <row r="63" spans="1:16" ht="26.4" x14ac:dyDescent="0.2">
      <c r="A63" s="110">
        <v>9</v>
      </c>
      <c r="B63" s="106"/>
      <c r="C63" s="99" t="s">
        <v>408</v>
      </c>
      <c r="D63" s="106" t="s">
        <v>64</v>
      </c>
      <c r="E63" s="112">
        <f>ROUND(E61*5.5,0)</f>
        <v>36</v>
      </c>
      <c r="F63" s="120"/>
      <c r="G63" s="121"/>
      <c r="H63" s="122"/>
      <c r="I63" s="121"/>
      <c r="J63" s="121"/>
      <c r="K63" s="179">
        <f t="shared" si="37"/>
        <v>0</v>
      </c>
      <c r="L63" s="184">
        <f t="shared" si="38"/>
        <v>0</v>
      </c>
      <c r="M63" s="121">
        <f t="shared" si="39"/>
        <v>0</v>
      </c>
      <c r="N63" s="121">
        <f t="shared" si="40"/>
        <v>0</v>
      </c>
      <c r="O63" s="121">
        <f t="shared" si="41"/>
        <v>0</v>
      </c>
      <c r="P63" s="123">
        <f t="shared" si="42"/>
        <v>0</v>
      </c>
    </row>
    <row r="64" spans="1:16" ht="13.2" x14ac:dyDescent="0.2">
      <c r="A64" s="110">
        <v>10</v>
      </c>
      <c r="B64" s="106"/>
      <c r="C64" s="99" t="s">
        <v>121</v>
      </c>
      <c r="D64" s="106" t="s">
        <v>64</v>
      </c>
      <c r="E64" s="112">
        <f>E63</f>
        <v>36</v>
      </c>
      <c r="F64" s="120"/>
      <c r="G64" s="121"/>
      <c r="H64" s="122"/>
      <c r="I64" s="121"/>
      <c r="J64" s="121"/>
      <c r="K64" s="179">
        <f t="shared" si="37"/>
        <v>0</v>
      </c>
      <c r="L64" s="184">
        <f t="shared" si="38"/>
        <v>0</v>
      </c>
      <c r="M64" s="121">
        <f t="shared" si="39"/>
        <v>0</v>
      </c>
      <c r="N64" s="121">
        <f t="shared" si="40"/>
        <v>0</v>
      </c>
      <c r="O64" s="121">
        <f t="shared" si="41"/>
        <v>0</v>
      </c>
      <c r="P64" s="123">
        <f t="shared" si="42"/>
        <v>0</v>
      </c>
    </row>
    <row r="65" spans="1:16" ht="26.4" x14ac:dyDescent="0.2">
      <c r="A65" s="110">
        <v>11</v>
      </c>
      <c r="B65" s="106"/>
      <c r="C65" s="99" t="s">
        <v>375</v>
      </c>
      <c r="D65" s="106" t="s">
        <v>73</v>
      </c>
      <c r="E65" s="112">
        <f>E61*1.02</f>
        <v>6.7319999999999993</v>
      </c>
      <c r="F65" s="120"/>
      <c r="G65" s="121"/>
      <c r="H65" s="122"/>
      <c r="I65" s="121"/>
      <c r="J65" s="121"/>
      <c r="K65" s="179">
        <f t="shared" si="37"/>
        <v>0</v>
      </c>
      <c r="L65" s="184">
        <f t="shared" si="38"/>
        <v>0</v>
      </c>
      <c r="M65" s="121">
        <f t="shared" si="39"/>
        <v>0</v>
      </c>
      <c r="N65" s="121">
        <f t="shared" si="40"/>
        <v>0</v>
      </c>
      <c r="O65" s="121">
        <f t="shared" si="41"/>
        <v>0</v>
      </c>
      <c r="P65" s="123">
        <f t="shared" si="42"/>
        <v>0</v>
      </c>
    </row>
    <row r="66" spans="1:16" ht="13.2" x14ac:dyDescent="0.2">
      <c r="A66" s="110">
        <v>12</v>
      </c>
      <c r="B66" s="106" t="s">
        <v>60</v>
      </c>
      <c r="C66" s="100" t="s">
        <v>112</v>
      </c>
      <c r="D66" s="106" t="s">
        <v>73</v>
      </c>
      <c r="E66" s="112">
        <f>E61</f>
        <v>6.6</v>
      </c>
      <c r="F66" s="120"/>
      <c r="G66" s="121"/>
      <c r="H66" s="122">
        <f t="shared" ref="H66" si="43">ROUND(F66*G66,2)</f>
        <v>0</v>
      </c>
      <c r="I66" s="121"/>
      <c r="J66" s="121"/>
      <c r="K66" s="179">
        <f t="shared" si="37"/>
        <v>0</v>
      </c>
      <c r="L66" s="184">
        <f t="shared" si="38"/>
        <v>0</v>
      </c>
      <c r="M66" s="121">
        <f t="shared" si="39"/>
        <v>0</v>
      </c>
      <c r="N66" s="121">
        <f t="shared" si="40"/>
        <v>0</v>
      </c>
      <c r="O66" s="121">
        <f t="shared" si="41"/>
        <v>0</v>
      </c>
      <c r="P66" s="123">
        <f t="shared" si="42"/>
        <v>0</v>
      </c>
    </row>
    <row r="67" spans="1:16" ht="13.2" x14ac:dyDescent="0.2">
      <c r="A67" s="110">
        <v>13</v>
      </c>
      <c r="B67" s="106"/>
      <c r="C67" s="99" t="s">
        <v>113</v>
      </c>
      <c r="D67" s="106" t="s">
        <v>96</v>
      </c>
      <c r="E67" s="112">
        <f>E66*0.12</f>
        <v>0.79199999999999993</v>
      </c>
      <c r="F67" s="120"/>
      <c r="G67" s="121"/>
      <c r="H67" s="122"/>
      <c r="I67" s="121"/>
      <c r="J67" s="121"/>
      <c r="K67" s="179">
        <f t="shared" si="37"/>
        <v>0</v>
      </c>
      <c r="L67" s="184">
        <f t="shared" si="38"/>
        <v>0</v>
      </c>
      <c r="M67" s="121">
        <f t="shared" si="39"/>
        <v>0</v>
      </c>
      <c r="N67" s="121">
        <f t="shared" si="40"/>
        <v>0</v>
      </c>
      <c r="O67" s="121">
        <f t="shared" si="41"/>
        <v>0</v>
      </c>
      <c r="P67" s="123">
        <f t="shared" si="42"/>
        <v>0</v>
      </c>
    </row>
    <row r="68" spans="1:16" ht="13.2" x14ac:dyDescent="0.2">
      <c r="A68" s="110">
        <v>14</v>
      </c>
      <c r="B68" s="106"/>
      <c r="C68" s="99" t="s">
        <v>376</v>
      </c>
      <c r="D68" s="106" t="s">
        <v>99</v>
      </c>
      <c r="E68" s="112">
        <f>E66*4.5</f>
        <v>29.7</v>
      </c>
      <c r="F68" s="120"/>
      <c r="G68" s="121"/>
      <c r="H68" s="122"/>
      <c r="I68" s="121"/>
      <c r="J68" s="121"/>
      <c r="K68" s="179">
        <f t="shared" si="37"/>
        <v>0</v>
      </c>
      <c r="L68" s="184">
        <f t="shared" si="38"/>
        <v>0</v>
      </c>
      <c r="M68" s="121">
        <f t="shared" si="39"/>
        <v>0</v>
      </c>
      <c r="N68" s="121">
        <f t="shared" si="40"/>
        <v>0</v>
      </c>
      <c r="O68" s="121">
        <f t="shared" si="41"/>
        <v>0</v>
      </c>
      <c r="P68" s="123">
        <f t="shared" si="42"/>
        <v>0</v>
      </c>
    </row>
    <row r="69" spans="1:16" ht="13.2" x14ac:dyDescent="0.2">
      <c r="A69" s="110">
        <v>15</v>
      </c>
      <c r="B69" s="106"/>
      <c r="C69" s="99" t="s">
        <v>101</v>
      </c>
      <c r="D69" s="106" t="s">
        <v>73</v>
      </c>
      <c r="E69" s="112">
        <f>E66*1.2</f>
        <v>7.919999999999999</v>
      </c>
      <c r="F69" s="120"/>
      <c r="G69" s="121"/>
      <c r="H69" s="122"/>
      <c r="I69" s="121"/>
      <c r="J69" s="121"/>
      <c r="K69" s="179">
        <f t="shared" si="37"/>
        <v>0</v>
      </c>
      <c r="L69" s="184">
        <f t="shared" si="38"/>
        <v>0</v>
      </c>
      <c r="M69" s="121">
        <f t="shared" si="39"/>
        <v>0</v>
      </c>
      <c r="N69" s="121">
        <f t="shared" si="40"/>
        <v>0</v>
      </c>
      <c r="O69" s="121">
        <f t="shared" si="41"/>
        <v>0</v>
      </c>
      <c r="P69" s="123">
        <f t="shared" si="42"/>
        <v>0</v>
      </c>
    </row>
    <row r="70" spans="1:16" ht="13.2" x14ac:dyDescent="0.2">
      <c r="A70" s="110">
        <v>16</v>
      </c>
      <c r="B70" s="106"/>
      <c r="C70" s="99" t="s">
        <v>115</v>
      </c>
      <c r="D70" s="106" t="s">
        <v>62</v>
      </c>
      <c r="E70" s="112">
        <f>1.6*2*1.1</f>
        <v>3.5200000000000005</v>
      </c>
      <c r="F70" s="120"/>
      <c r="G70" s="121"/>
      <c r="H70" s="122"/>
      <c r="I70" s="121"/>
      <c r="J70" s="121"/>
      <c r="K70" s="179">
        <f t="shared" si="37"/>
        <v>0</v>
      </c>
      <c r="L70" s="184">
        <f t="shared" si="38"/>
        <v>0</v>
      </c>
      <c r="M70" s="121">
        <f t="shared" si="39"/>
        <v>0</v>
      </c>
      <c r="N70" s="121">
        <f t="shared" si="40"/>
        <v>0</v>
      </c>
      <c r="O70" s="121">
        <f t="shared" si="41"/>
        <v>0</v>
      </c>
      <c r="P70" s="123">
        <f t="shared" si="42"/>
        <v>0</v>
      </c>
    </row>
    <row r="71" spans="1:16" ht="13.2" x14ac:dyDescent="0.2">
      <c r="A71" s="110">
        <v>17</v>
      </c>
      <c r="B71" s="106" t="s">
        <v>60</v>
      </c>
      <c r="C71" s="100" t="s">
        <v>117</v>
      </c>
      <c r="D71" s="106" t="s">
        <v>73</v>
      </c>
      <c r="E71" s="112">
        <v>3.06</v>
      </c>
      <c r="F71" s="120"/>
      <c r="G71" s="121"/>
      <c r="H71" s="122">
        <f t="shared" ref="H71" si="44">ROUND(F71*G71,2)</f>
        <v>0</v>
      </c>
      <c r="I71" s="121"/>
      <c r="J71" s="121"/>
      <c r="K71" s="179">
        <f t="shared" si="37"/>
        <v>0</v>
      </c>
      <c r="L71" s="184">
        <f t="shared" si="38"/>
        <v>0</v>
      </c>
      <c r="M71" s="121">
        <f t="shared" si="39"/>
        <v>0</v>
      </c>
      <c r="N71" s="121">
        <f t="shared" si="40"/>
        <v>0</v>
      </c>
      <c r="O71" s="121">
        <f t="shared" si="41"/>
        <v>0</v>
      </c>
      <c r="P71" s="123">
        <f t="shared" si="42"/>
        <v>0</v>
      </c>
    </row>
    <row r="72" spans="1:16" ht="26.4" x14ac:dyDescent="0.2">
      <c r="A72" s="110">
        <v>18</v>
      </c>
      <c r="B72" s="106"/>
      <c r="C72" s="99" t="s">
        <v>294</v>
      </c>
      <c r="D72" s="106" t="s">
        <v>96</v>
      </c>
      <c r="E72" s="112">
        <f>E71*0.15</f>
        <v>0.45899999999999996</v>
      </c>
      <c r="F72" s="120"/>
      <c r="G72" s="121"/>
      <c r="H72" s="122"/>
      <c r="I72" s="121"/>
      <c r="J72" s="121"/>
      <c r="K72" s="179">
        <f t="shared" si="37"/>
        <v>0</v>
      </c>
      <c r="L72" s="184">
        <f t="shared" si="38"/>
        <v>0</v>
      </c>
      <c r="M72" s="121">
        <f t="shared" si="39"/>
        <v>0</v>
      </c>
      <c r="N72" s="121">
        <f t="shared" si="40"/>
        <v>0</v>
      </c>
      <c r="O72" s="121">
        <f t="shared" si="41"/>
        <v>0</v>
      </c>
      <c r="P72" s="123">
        <f t="shared" si="42"/>
        <v>0</v>
      </c>
    </row>
    <row r="73" spans="1:16" ht="26.4" x14ac:dyDescent="0.2">
      <c r="A73" s="110">
        <v>19</v>
      </c>
      <c r="B73" s="106"/>
      <c r="C73" s="99" t="s">
        <v>405</v>
      </c>
      <c r="D73" s="106" t="s">
        <v>99</v>
      </c>
      <c r="E73" s="112">
        <f>E71*4</f>
        <v>12.24</v>
      </c>
      <c r="F73" s="120"/>
      <c r="G73" s="121"/>
      <c r="H73" s="122"/>
      <c r="I73" s="121"/>
      <c r="J73" s="121"/>
      <c r="K73" s="179">
        <f t="shared" si="37"/>
        <v>0</v>
      </c>
      <c r="L73" s="184">
        <f t="shared" si="38"/>
        <v>0</v>
      </c>
      <c r="M73" s="121">
        <f t="shared" si="39"/>
        <v>0</v>
      </c>
      <c r="N73" s="121">
        <f t="shared" si="40"/>
        <v>0</v>
      </c>
      <c r="O73" s="121">
        <f t="shared" si="41"/>
        <v>0</v>
      </c>
      <c r="P73" s="123">
        <f t="shared" si="42"/>
        <v>0</v>
      </c>
    </row>
    <row r="74" spans="1:16" ht="26.4" x14ac:dyDescent="0.2">
      <c r="A74" s="163"/>
      <c r="B74" s="164"/>
      <c r="C74" s="165" t="s">
        <v>307</v>
      </c>
      <c r="D74" s="166"/>
      <c r="E74" s="167"/>
      <c r="F74" s="168"/>
      <c r="G74" s="169"/>
      <c r="H74" s="169"/>
      <c r="I74" s="169"/>
      <c r="J74" s="169"/>
      <c r="K74" s="192"/>
      <c r="L74" s="193"/>
      <c r="M74" s="169"/>
      <c r="N74" s="169"/>
      <c r="O74" s="169"/>
      <c r="P74" s="170"/>
    </row>
    <row r="75" spans="1:16" ht="39.6" x14ac:dyDescent="0.2">
      <c r="A75" s="110">
        <v>1</v>
      </c>
      <c r="B75" s="106" t="s">
        <v>60</v>
      </c>
      <c r="C75" s="100" t="s">
        <v>303</v>
      </c>
      <c r="D75" s="106" t="s">
        <v>62</v>
      </c>
      <c r="E75" s="112">
        <v>15.5</v>
      </c>
      <c r="F75" s="120"/>
      <c r="G75" s="121"/>
      <c r="H75" s="122">
        <f>ROUND(F75*G75,2)</f>
        <v>0</v>
      </c>
      <c r="I75" s="121"/>
      <c r="J75" s="121"/>
      <c r="K75" s="179">
        <f>ROUND(H75+J75+I75,2)</f>
        <v>0</v>
      </c>
      <c r="L75" s="184">
        <f>ROUND(E75*F75,2)</f>
        <v>0</v>
      </c>
      <c r="M75" s="121">
        <f>ROUND(E75*H75,2)</f>
        <v>0</v>
      </c>
      <c r="N75" s="121">
        <f>ROUND(E75*I75,2)</f>
        <v>0</v>
      </c>
      <c r="O75" s="121">
        <f>ROUND(E75*J75,2)</f>
        <v>0</v>
      </c>
      <c r="P75" s="123">
        <f>ROUND(O75+N75+M75,2)</f>
        <v>0</v>
      </c>
    </row>
    <row r="76" spans="1:16" ht="13.2" x14ac:dyDescent="0.2">
      <c r="A76" s="110">
        <v>2</v>
      </c>
      <c r="B76" s="106" t="s">
        <v>60</v>
      </c>
      <c r="C76" s="100" t="s">
        <v>304</v>
      </c>
      <c r="D76" s="106" t="s">
        <v>73</v>
      </c>
      <c r="E76" s="112">
        <v>29.63</v>
      </c>
      <c r="F76" s="120"/>
      <c r="G76" s="121"/>
      <c r="H76" s="122">
        <f t="shared" ref="H76:H78" si="45">ROUND(F76*G76,2)</f>
        <v>0</v>
      </c>
      <c r="I76" s="121"/>
      <c r="J76" s="121"/>
      <c r="K76" s="179">
        <f>ROUND(H76+J76+I76,2)</f>
        <v>0</v>
      </c>
      <c r="L76" s="184">
        <f>ROUND(E76*F76,2)</f>
        <v>0</v>
      </c>
      <c r="M76" s="121">
        <f>ROUND(E76*H76,2)</f>
        <v>0</v>
      </c>
      <c r="N76" s="121">
        <f>ROUND(E76*I76,2)</f>
        <v>0</v>
      </c>
      <c r="O76" s="121">
        <f>ROUND(E76*J76,2)</f>
        <v>0</v>
      </c>
      <c r="P76" s="123">
        <f>ROUND(O76+N76+M76,2)</f>
        <v>0</v>
      </c>
    </row>
    <row r="77" spans="1:16" ht="26.4" x14ac:dyDescent="0.2">
      <c r="A77" s="110">
        <v>3</v>
      </c>
      <c r="B77" s="106" t="s">
        <v>60</v>
      </c>
      <c r="C77" s="100" t="s">
        <v>123</v>
      </c>
      <c r="D77" s="106" t="s">
        <v>73</v>
      </c>
      <c r="E77" s="112">
        <f>E76</f>
        <v>29.63</v>
      </c>
      <c r="F77" s="120"/>
      <c r="G77" s="121"/>
      <c r="H77" s="122">
        <f t="shared" si="45"/>
        <v>0</v>
      </c>
      <c r="I77" s="121"/>
      <c r="J77" s="121"/>
      <c r="K77" s="179">
        <f>ROUND(H77+J77+I77,2)</f>
        <v>0</v>
      </c>
      <c r="L77" s="184">
        <f>ROUND(E77*F77,2)</f>
        <v>0</v>
      </c>
      <c r="M77" s="121">
        <f>ROUND(E77*H77,2)</f>
        <v>0</v>
      </c>
      <c r="N77" s="121">
        <f>ROUND(E77*I77,2)</f>
        <v>0</v>
      </c>
      <c r="O77" s="121">
        <f>ROUND(E77*J77,2)</f>
        <v>0</v>
      </c>
      <c r="P77" s="123">
        <f>ROUND(O77+N77+M77,2)</f>
        <v>0</v>
      </c>
    </row>
    <row r="78" spans="1:16" ht="26.4" x14ac:dyDescent="0.2">
      <c r="A78" s="110">
        <v>4</v>
      </c>
      <c r="B78" s="106" t="s">
        <v>60</v>
      </c>
      <c r="C78" s="100" t="s">
        <v>107</v>
      </c>
      <c r="D78" s="106" t="s">
        <v>73</v>
      </c>
      <c r="E78" s="112">
        <f>E76</f>
        <v>29.63</v>
      </c>
      <c r="F78" s="120"/>
      <c r="G78" s="121"/>
      <c r="H78" s="122">
        <f t="shared" si="45"/>
        <v>0</v>
      </c>
      <c r="I78" s="121"/>
      <c r="J78" s="121"/>
      <c r="K78" s="179">
        <f>ROUND(H78+J78+I78,2)</f>
        <v>0</v>
      </c>
      <c r="L78" s="184">
        <f>ROUND(E78*F78,2)</f>
        <v>0</v>
      </c>
      <c r="M78" s="121">
        <f>ROUND(E78*H78,2)</f>
        <v>0</v>
      </c>
      <c r="N78" s="121">
        <f>ROUND(E78*I78,2)</f>
        <v>0</v>
      </c>
      <c r="O78" s="121">
        <f>ROUND(E78*J78,2)</f>
        <v>0</v>
      </c>
      <c r="P78" s="123">
        <f>ROUND(O78+N78+M78,2)</f>
        <v>0</v>
      </c>
    </row>
    <row r="79" spans="1:16" ht="13.2" x14ac:dyDescent="0.2">
      <c r="A79" s="110">
        <v>5</v>
      </c>
      <c r="B79" s="106"/>
      <c r="C79" s="99" t="s">
        <v>373</v>
      </c>
      <c r="D79" s="106" t="s">
        <v>96</v>
      </c>
      <c r="E79" s="112">
        <f>E78*0.12</f>
        <v>3.5555999999999996</v>
      </c>
      <c r="F79" s="120"/>
      <c r="G79" s="121"/>
      <c r="H79" s="122"/>
      <c r="I79" s="121"/>
      <c r="J79" s="121"/>
      <c r="K79" s="179">
        <f t="shared" ref="K79:K80" si="46">ROUND(H79+J79+I79,2)</f>
        <v>0</v>
      </c>
      <c r="L79" s="184">
        <f t="shared" ref="L79:L80" si="47">ROUND(E79*F79,2)</f>
        <v>0</v>
      </c>
      <c r="M79" s="121">
        <f t="shared" ref="M79:M80" si="48">ROUND(E79*H79,2)</f>
        <v>0</v>
      </c>
      <c r="N79" s="121">
        <f t="shared" ref="N79:N80" si="49">ROUND(E79*I79,2)</f>
        <v>0</v>
      </c>
      <c r="O79" s="121">
        <f t="shared" ref="O79:O80" si="50">ROUND(E79*J79,2)</f>
        <v>0</v>
      </c>
      <c r="P79" s="123">
        <f t="shared" ref="P79:P80" si="51">ROUND(O79+N79+M79,2)</f>
        <v>0</v>
      </c>
    </row>
    <row r="80" spans="1:16" ht="26.4" x14ac:dyDescent="0.2">
      <c r="A80" s="110">
        <v>6</v>
      </c>
      <c r="B80" s="106"/>
      <c r="C80" s="99" t="s">
        <v>391</v>
      </c>
      <c r="D80" s="106" t="s">
        <v>109</v>
      </c>
      <c r="E80" s="112">
        <f>E78*5</f>
        <v>148.15</v>
      </c>
      <c r="F80" s="120"/>
      <c r="G80" s="121"/>
      <c r="H80" s="122"/>
      <c r="I80" s="121"/>
      <c r="J80" s="121"/>
      <c r="K80" s="179">
        <f t="shared" si="46"/>
        <v>0</v>
      </c>
      <c r="L80" s="184">
        <f t="shared" si="47"/>
        <v>0</v>
      </c>
      <c r="M80" s="121">
        <f t="shared" si="48"/>
        <v>0</v>
      </c>
      <c r="N80" s="121">
        <f t="shared" si="49"/>
        <v>0</v>
      </c>
      <c r="O80" s="121">
        <f t="shared" si="50"/>
        <v>0</v>
      </c>
      <c r="P80" s="123">
        <f t="shared" si="51"/>
        <v>0</v>
      </c>
    </row>
    <row r="81" spans="1:16" ht="13.2" x14ac:dyDescent="0.2">
      <c r="A81" s="110">
        <v>7</v>
      </c>
      <c r="B81" s="106" t="s">
        <v>60</v>
      </c>
      <c r="C81" s="100" t="s">
        <v>124</v>
      </c>
      <c r="D81" s="106" t="s">
        <v>73</v>
      </c>
      <c r="E81" s="112">
        <f>E78</f>
        <v>29.63</v>
      </c>
      <c r="F81" s="120"/>
      <c r="G81" s="121"/>
      <c r="H81" s="122">
        <f t="shared" ref="H81" si="52">ROUND(F81*G81,2)</f>
        <v>0</v>
      </c>
      <c r="I81" s="121"/>
      <c r="J81" s="121"/>
      <c r="K81" s="179">
        <f>ROUND(H81+J81+I81,2)</f>
        <v>0</v>
      </c>
      <c r="L81" s="184">
        <f>ROUND(E81*F81,2)</f>
        <v>0</v>
      </c>
      <c r="M81" s="121">
        <f>ROUND(E81*H81,2)</f>
        <v>0</v>
      </c>
      <c r="N81" s="121">
        <f>ROUND(E81*I81,2)</f>
        <v>0</v>
      </c>
      <c r="O81" s="121">
        <f>ROUND(E81*J81,2)</f>
        <v>0</v>
      </c>
      <c r="P81" s="123">
        <f>ROUND(O81+N81+M81,2)</f>
        <v>0</v>
      </c>
    </row>
    <row r="82" spans="1:16" ht="13.2" x14ac:dyDescent="0.2">
      <c r="A82" s="110">
        <v>8</v>
      </c>
      <c r="B82" s="106"/>
      <c r="C82" s="99" t="s">
        <v>125</v>
      </c>
      <c r="D82" s="106" t="s">
        <v>126</v>
      </c>
      <c r="E82" s="112">
        <f>ROUND(E81/4,2)</f>
        <v>7.41</v>
      </c>
      <c r="F82" s="120"/>
      <c r="G82" s="121"/>
      <c r="H82" s="122"/>
      <c r="I82" s="121"/>
      <c r="J82" s="121"/>
      <c r="K82" s="179">
        <f t="shared" ref="K82:K93" si="53">ROUND(H82+J82+I82,2)</f>
        <v>0</v>
      </c>
      <c r="L82" s="184">
        <f t="shared" ref="L82:L93" si="54">ROUND(E82*F82,2)</f>
        <v>0</v>
      </c>
      <c r="M82" s="121">
        <f t="shared" ref="M82:M93" si="55">ROUND(E82*H82,2)</f>
        <v>0</v>
      </c>
      <c r="N82" s="121">
        <f t="shared" ref="N82:N93" si="56">ROUND(E82*I82,2)</f>
        <v>0</v>
      </c>
      <c r="O82" s="121">
        <f t="shared" ref="O82:O93" si="57">ROUND(E82*J82,2)</f>
        <v>0</v>
      </c>
      <c r="P82" s="123">
        <f t="shared" ref="P82:P93" si="58">ROUND(O82+N82+M82,2)</f>
        <v>0</v>
      </c>
    </row>
    <row r="83" spans="1:16" ht="26.4" x14ac:dyDescent="0.2">
      <c r="A83" s="110">
        <v>9</v>
      </c>
      <c r="B83" s="106"/>
      <c r="C83" s="99" t="s">
        <v>408</v>
      </c>
      <c r="D83" s="106" t="s">
        <v>64</v>
      </c>
      <c r="E83" s="112">
        <f>ROUND(E81*5.5,0)</f>
        <v>163</v>
      </c>
      <c r="F83" s="120"/>
      <c r="G83" s="121"/>
      <c r="H83" s="122"/>
      <c r="I83" s="121"/>
      <c r="J83" s="121"/>
      <c r="K83" s="179">
        <f t="shared" si="53"/>
        <v>0</v>
      </c>
      <c r="L83" s="184">
        <f t="shared" si="54"/>
        <v>0</v>
      </c>
      <c r="M83" s="121">
        <f t="shared" si="55"/>
        <v>0</v>
      </c>
      <c r="N83" s="121">
        <f t="shared" si="56"/>
        <v>0</v>
      </c>
      <c r="O83" s="121">
        <f t="shared" si="57"/>
        <v>0</v>
      </c>
      <c r="P83" s="123">
        <f t="shared" si="58"/>
        <v>0</v>
      </c>
    </row>
    <row r="84" spans="1:16" ht="13.2" x14ac:dyDescent="0.2">
      <c r="A84" s="110">
        <v>10</v>
      </c>
      <c r="B84" s="106"/>
      <c r="C84" s="99" t="s">
        <v>121</v>
      </c>
      <c r="D84" s="106" t="s">
        <v>64</v>
      </c>
      <c r="E84" s="112">
        <f>E83</f>
        <v>163</v>
      </c>
      <c r="F84" s="120"/>
      <c r="G84" s="121"/>
      <c r="H84" s="122"/>
      <c r="I84" s="121"/>
      <c r="J84" s="121"/>
      <c r="K84" s="179">
        <f t="shared" si="53"/>
        <v>0</v>
      </c>
      <c r="L84" s="184">
        <f t="shared" si="54"/>
        <v>0</v>
      </c>
      <c r="M84" s="121">
        <f t="shared" si="55"/>
        <v>0</v>
      </c>
      <c r="N84" s="121">
        <f t="shared" si="56"/>
        <v>0</v>
      </c>
      <c r="O84" s="121">
        <f t="shared" si="57"/>
        <v>0</v>
      </c>
      <c r="P84" s="123">
        <f t="shared" si="58"/>
        <v>0</v>
      </c>
    </row>
    <row r="85" spans="1:16" ht="26.4" x14ac:dyDescent="0.2">
      <c r="A85" s="110">
        <v>11</v>
      </c>
      <c r="B85" s="106"/>
      <c r="C85" s="99" t="s">
        <v>375</v>
      </c>
      <c r="D85" s="106" t="s">
        <v>73</v>
      </c>
      <c r="E85" s="112">
        <f>E81*1.02</f>
        <v>30.2226</v>
      </c>
      <c r="F85" s="120"/>
      <c r="G85" s="121"/>
      <c r="H85" s="122"/>
      <c r="I85" s="121"/>
      <c r="J85" s="121"/>
      <c r="K85" s="179">
        <f t="shared" si="53"/>
        <v>0</v>
      </c>
      <c r="L85" s="184">
        <f t="shared" si="54"/>
        <v>0</v>
      </c>
      <c r="M85" s="121">
        <f t="shared" si="55"/>
        <v>0</v>
      </c>
      <c r="N85" s="121">
        <f t="shared" si="56"/>
        <v>0</v>
      </c>
      <c r="O85" s="121">
        <f t="shared" si="57"/>
        <v>0</v>
      </c>
      <c r="P85" s="123">
        <f t="shared" si="58"/>
        <v>0</v>
      </c>
    </row>
    <row r="86" spans="1:16" ht="13.2" x14ac:dyDescent="0.2">
      <c r="A86" s="110">
        <v>12</v>
      </c>
      <c r="B86" s="106" t="s">
        <v>60</v>
      </c>
      <c r="C86" s="100" t="s">
        <v>112</v>
      </c>
      <c r="D86" s="106" t="s">
        <v>73</v>
      </c>
      <c r="E86" s="112">
        <f>E81</f>
        <v>29.63</v>
      </c>
      <c r="F86" s="120"/>
      <c r="G86" s="121"/>
      <c r="H86" s="122">
        <f t="shared" ref="H86" si="59">ROUND(F86*G86,2)</f>
        <v>0</v>
      </c>
      <c r="I86" s="121"/>
      <c r="J86" s="121"/>
      <c r="K86" s="179">
        <f t="shared" si="53"/>
        <v>0</v>
      </c>
      <c r="L86" s="184">
        <f t="shared" si="54"/>
        <v>0</v>
      </c>
      <c r="M86" s="121">
        <f t="shared" si="55"/>
        <v>0</v>
      </c>
      <c r="N86" s="121">
        <f t="shared" si="56"/>
        <v>0</v>
      </c>
      <c r="O86" s="121">
        <f t="shared" si="57"/>
        <v>0</v>
      </c>
      <c r="P86" s="123">
        <f t="shared" si="58"/>
        <v>0</v>
      </c>
    </row>
    <row r="87" spans="1:16" ht="13.2" x14ac:dyDescent="0.2">
      <c r="A87" s="110">
        <v>13</v>
      </c>
      <c r="B87" s="106"/>
      <c r="C87" s="99" t="s">
        <v>113</v>
      </c>
      <c r="D87" s="106" t="s">
        <v>96</v>
      </c>
      <c r="E87" s="112">
        <f>E86*0.12</f>
        <v>3.5555999999999996</v>
      </c>
      <c r="F87" s="120"/>
      <c r="G87" s="121"/>
      <c r="H87" s="122"/>
      <c r="I87" s="121"/>
      <c r="J87" s="121"/>
      <c r="K87" s="179">
        <f t="shared" si="53"/>
        <v>0</v>
      </c>
      <c r="L87" s="184">
        <f t="shared" si="54"/>
        <v>0</v>
      </c>
      <c r="M87" s="121">
        <f t="shared" si="55"/>
        <v>0</v>
      </c>
      <c r="N87" s="121">
        <f t="shared" si="56"/>
        <v>0</v>
      </c>
      <c r="O87" s="121">
        <f t="shared" si="57"/>
        <v>0</v>
      </c>
      <c r="P87" s="123">
        <f t="shared" si="58"/>
        <v>0</v>
      </c>
    </row>
    <row r="88" spans="1:16" ht="13.2" x14ac:dyDescent="0.2">
      <c r="A88" s="110">
        <v>14</v>
      </c>
      <c r="B88" s="106"/>
      <c r="C88" s="99" t="s">
        <v>376</v>
      </c>
      <c r="D88" s="106" t="s">
        <v>99</v>
      </c>
      <c r="E88" s="112">
        <f>E86*4.5</f>
        <v>133.33500000000001</v>
      </c>
      <c r="F88" s="120"/>
      <c r="G88" s="121"/>
      <c r="H88" s="122"/>
      <c r="I88" s="121"/>
      <c r="J88" s="121"/>
      <c r="K88" s="179">
        <f t="shared" si="53"/>
        <v>0</v>
      </c>
      <c r="L88" s="184">
        <f t="shared" si="54"/>
        <v>0</v>
      </c>
      <c r="M88" s="121">
        <f t="shared" si="55"/>
        <v>0</v>
      </c>
      <c r="N88" s="121">
        <f t="shared" si="56"/>
        <v>0</v>
      </c>
      <c r="O88" s="121">
        <f t="shared" si="57"/>
        <v>0</v>
      </c>
      <c r="P88" s="123">
        <f t="shared" si="58"/>
        <v>0</v>
      </c>
    </row>
    <row r="89" spans="1:16" ht="13.2" x14ac:dyDescent="0.2">
      <c r="A89" s="110">
        <v>15</v>
      </c>
      <c r="B89" s="106"/>
      <c r="C89" s="99" t="s">
        <v>101</v>
      </c>
      <c r="D89" s="106" t="s">
        <v>73</v>
      </c>
      <c r="E89" s="112">
        <f>E86*1.2</f>
        <v>35.555999999999997</v>
      </c>
      <c r="F89" s="120"/>
      <c r="G89" s="121"/>
      <c r="H89" s="122"/>
      <c r="I89" s="121"/>
      <c r="J89" s="121"/>
      <c r="K89" s="179">
        <f t="shared" si="53"/>
        <v>0</v>
      </c>
      <c r="L89" s="184">
        <f t="shared" si="54"/>
        <v>0</v>
      </c>
      <c r="M89" s="121">
        <f t="shared" si="55"/>
        <v>0</v>
      </c>
      <c r="N89" s="121">
        <f t="shared" si="56"/>
        <v>0</v>
      </c>
      <c r="O89" s="121">
        <f t="shared" si="57"/>
        <v>0</v>
      </c>
      <c r="P89" s="123">
        <f t="shared" si="58"/>
        <v>0</v>
      </c>
    </row>
    <row r="90" spans="1:16" ht="13.2" x14ac:dyDescent="0.2">
      <c r="A90" s="110">
        <v>16</v>
      </c>
      <c r="B90" s="106"/>
      <c r="C90" s="99" t="s">
        <v>115</v>
      </c>
      <c r="D90" s="106" t="s">
        <v>62</v>
      </c>
      <c r="E90" s="112">
        <f>2*2*1.1</f>
        <v>4.4000000000000004</v>
      </c>
      <c r="F90" s="120"/>
      <c r="G90" s="121"/>
      <c r="H90" s="122"/>
      <c r="I90" s="121"/>
      <c r="J90" s="121"/>
      <c r="K90" s="179">
        <f t="shared" si="53"/>
        <v>0</v>
      </c>
      <c r="L90" s="184">
        <f t="shared" si="54"/>
        <v>0</v>
      </c>
      <c r="M90" s="121">
        <f t="shared" si="55"/>
        <v>0</v>
      </c>
      <c r="N90" s="121">
        <f t="shared" si="56"/>
        <v>0</v>
      </c>
      <c r="O90" s="121">
        <f t="shared" si="57"/>
        <v>0</v>
      </c>
      <c r="P90" s="123">
        <f t="shared" si="58"/>
        <v>0</v>
      </c>
    </row>
    <row r="91" spans="1:16" ht="13.2" x14ac:dyDescent="0.2">
      <c r="A91" s="110">
        <v>17</v>
      </c>
      <c r="B91" s="106" t="s">
        <v>60</v>
      </c>
      <c r="C91" s="100" t="s">
        <v>117</v>
      </c>
      <c r="D91" s="106" t="s">
        <v>73</v>
      </c>
      <c r="E91" s="112">
        <v>13.77</v>
      </c>
      <c r="F91" s="120"/>
      <c r="G91" s="121"/>
      <c r="H91" s="122">
        <f t="shared" ref="H91" si="60">ROUND(F91*G91,2)</f>
        <v>0</v>
      </c>
      <c r="I91" s="121"/>
      <c r="J91" s="121"/>
      <c r="K91" s="179">
        <f t="shared" si="53"/>
        <v>0</v>
      </c>
      <c r="L91" s="184">
        <f t="shared" si="54"/>
        <v>0</v>
      </c>
      <c r="M91" s="121">
        <f t="shared" si="55"/>
        <v>0</v>
      </c>
      <c r="N91" s="121">
        <f t="shared" si="56"/>
        <v>0</v>
      </c>
      <c r="O91" s="121">
        <f t="shared" si="57"/>
        <v>0</v>
      </c>
      <c r="P91" s="123">
        <f t="shared" si="58"/>
        <v>0</v>
      </c>
    </row>
    <row r="92" spans="1:16" ht="26.4" x14ac:dyDescent="0.2">
      <c r="A92" s="110">
        <v>18</v>
      </c>
      <c r="B92" s="106"/>
      <c r="C92" s="99" t="s">
        <v>294</v>
      </c>
      <c r="D92" s="106" t="s">
        <v>96</v>
      </c>
      <c r="E92" s="112">
        <f>E91*0.15</f>
        <v>2.0654999999999997</v>
      </c>
      <c r="F92" s="120"/>
      <c r="G92" s="121"/>
      <c r="H92" s="122"/>
      <c r="I92" s="121"/>
      <c r="J92" s="121"/>
      <c r="K92" s="179">
        <f t="shared" si="53"/>
        <v>0</v>
      </c>
      <c r="L92" s="184">
        <f t="shared" si="54"/>
        <v>0</v>
      </c>
      <c r="M92" s="121">
        <f t="shared" si="55"/>
        <v>0</v>
      </c>
      <c r="N92" s="121">
        <f t="shared" si="56"/>
        <v>0</v>
      </c>
      <c r="O92" s="121">
        <f t="shared" si="57"/>
        <v>0</v>
      </c>
      <c r="P92" s="123">
        <f t="shared" si="58"/>
        <v>0</v>
      </c>
    </row>
    <row r="93" spans="1:16" ht="26.4" x14ac:dyDescent="0.2">
      <c r="A93" s="110">
        <v>19</v>
      </c>
      <c r="B93" s="106"/>
      <c r="C93" s="99" t="s">
        <v>405</v>
      </c>
      <c r="D93" s="106" t="s">
        <v>99</v>
      </c>
      <c r="E93" s="112">
        <f>E91*4</f>
        <v>55.08</v>
      </c>
      <c r="F93" s="120"/>
      <c r="G93" s="121"/>
      <c r="H93" s="122"/>
      <c r="I93" s="121"/>
      <c r="J93" s="121"/>
      <c r="K93" s="179">
        <f t="shared" si="53"/>
        <v>0</v>
      </c>
      <c r="L93" s="184">
        <f t="shared" si="54"/>
        <v>0</v>
      </c>
      <c r="M93" s="121">
        <f t="shared" si="55"/>
        <v>0</v>
      </c>
      <c r="N93" s="121">
        <f t="shared" si="56"/>
        <v>0</v>
      </c>
      <c r="O93" s="121">
        <f t="shared" si="57"/>
        <v>0</v>
      </c>
      <c r="P93" s="123">
        <f t="shared" si="58"/>
        <v>0</v>
      </c>
    </row>
    <row r="94" spans="1:16" ht="26.4" x14ac:dyDescent="0.2">
      <c r="A94" s="163"/>
      <c r="B94" s="164"/>
      <c r="C94" s="165" t="s">
        <v>308</v>
      </c>
      <c r="D94" s="166"/>
      <c r="E94" s="167"/>
      <c r="F94" s="168"/>
      <c r="G94" s="169"/>
      <c r="H94" s="169"/>
      <c r="I94" s="169"/>
      <c r="J94" s="169"/>
      <c r="K94" s="192"/>
      <c r="L94" s="193"/>
      <c r="M94" s="169"/>
      <c r="N94" s="169"/>
      <c r="O94" s="169"/>
      <c r="P94" s="170"/>
    </row>
    <row r="95" spans="1:16" ht="52.8" x14ac:dyDescent="0.2">
      <c r="A95" s="110">
        <v>1</v>
      </c>
      <c r="B95" s="106" t="s">
        <v>60</v>
      </c>
      <c r="C95" s="100" t="s">
        <v>309</v>
      </c>
      <c r="D95" s="106" t="s">
        <v>73</v>
      </c>
      <c r="E95" s="112">
        <v>8.4700000000000006</v>
      </c>
      <c r="F95" s="120"/>
      <c r="G95" s="121"/>
      <c r="H95" s="122">
        <f>ROUND(F95*G95,2)</f>
        <v>0</v>
      </c>
      <c r="I95" s="121"/>
      <c r="J95" s="121"/>
      <c r="K95" s="179">
        <f t="shared" ref="K95:K305" si="61">ROUND(H95+J95+I95,2)</f>
        <v>0</v>
      </c>
      <c r="L95" s="184">
        <f t="shared" ref="L95:L305" si="62">ROUND(E95*F95,2)</f>
        <v>0</v>
      </c>
      <c r="M95" s="121">
        <f t="shared" ref="M95:M305" si="63">ROUND(E95*H95,2)</f>
        <v>0</v>
      </c>
      <c r="N95" s="121">
        <f t="shared" ref="N95:N305" si="64">ROUND(E95*I95,2)</f>
        <v>0</v>
      </c>
      <c r="O95" s="121">
        <f t="shared" ref="O95:O305" si="65">ROUND(E95*J95,2)</f>
        <v>0</v>
      </c>
      <c r="P95" s="123">
        <f t="shared" ref="P95:P305" si="66">ROUND(O95+N95+M95,2)</f>
        <v>0</v>
      </c>
    </row>
    <row r="96" spans="1:16" ht="26.4" x14ac:dyDescent="0.2">
      <c r="A96" s="163"/>
      <c r="B96" s="164"/>
      <c r="C96" s="165" t="s">
        <v>377</v>
      </c>
      <c r="D96" s="166"/>
      <c r="E96" s="167"/>
      <c r="F96" s="168"/>
      <c r="G96" s="169"/>
      <c r="H96" s="169"/>
      <c r="I96" s="169"/>
      <c r="J96" s="169"/>
      <c r="K96" s="192"/>
      <c r="L96" s="193"/>
      <c r="M96" s="169"/>
      <c r="N96" s="169"/>
      <c r="O96" s="169"/>
      <c r="P96" s="170"/>
    </row>
    <row r="97" spans="1:16" ht="26.4" x14ac:dyDescent="0.2">
      <c r="A97" s="110">
        <v>1</v>
      </c>
      <c r="B97" s="106" t="s">
        <v>60</v>
      </c>
      <c r="C97" s="111" t="s">
        <v>310</v>
      </c>
      <c r="D97" s="106" t="s">
        <v>73</v>
      </c>
      <c r="E97" s="112">
        <v>1.3</v>
      </c>
      <c r="F97" s="120"/>
      <c r="G97" s="121"/>
      <c r="H97" s="122">
        <f>ROUND(F97*G97,2)</f>
        <v>0</v>
      </c>
      <c r="I97" s="121"/>
      <c r="J97" s="121"/>
      <c r="K97" s="179">
        <f t="shared" ref="K97:K114" si="67">ROUND(H97+J97+I97,2)</f>
        <v>0</v>
      </c>
      <c r="L97" s="184">
        <f t="shared" ref="L97:L114" si="68">ROUND(E97*F97,2)</f>
        <v>0</v>
      </c>
      <c r="M97" s="121">
        <f t="shared" ref="M97:M114" si="69">ROUND(E97*H97,2)</f>
        <v>0</v>
      </c>
      <c r="N97" s="121">
        <f t="shared" ref="N97:N114" si="70">ROUND(E97*I97,2)</f>
        <v>0</v>
      </c>
      <c r="O97" s="121">
        <f t="shared" ref="O97:O114" si="71">ROUND(E97*J97,2)</f>
        <v>0</v>
      </c>
      <c r="P97" s="123">
        <f t="shared" ref="P97:P114" si="72">ROUND(O97+N97+M97,2)</f>
        <v>0</v>
      </c>
    </row>
    <row r="98" spans="1:16" ht="13.2" x14ac:dyDescent="0.2">
      <c r="A98" s="110">
        <v>2</v>
      </c>
      <c r="B98" s="106"/>
      <c r="C98" s="99" t="s">
        <v>98</v>
      </c>
      <c r="D98" s="106" t="s">
        <v>96</v>
      </c>
      <c r="E98" s="112">
        <f>E97*0.12</f>
        <v>0.156</v>
      </c>
      <c r="F98" s="120"/>
      <c r="G98" s="121"/>
      <c r="H98" s="122"/>
      <c r="I98" s="121"/>
      <c r="J98" s="121"/>
      <c r="K98" s="179">
        <f t="shared" si="67"/>
        <v>0</v>
      </c>
      <c r="L98" s="184">
        <f t="shared" si="68"/>
        <v>0</v>
      </c>
      <c r="M98" s="121">
        <f t="shared" si="69"/>
        <v>0</v>
      </c>
      <c r="N98" s="121">
        <f t="shared" si="70"/>
        <v>0</v>
      </c>
      <c r="O98" s="121">
        <f t="shared" si="71"/>
        <v>0</v>
      </c>
      <c r="P98" s="123">
        <f t="shared" si="72"/>
        <v>0</v>
      </c>
    </row>
    <row r="99" spans="1:16" ht="26.4" x14ac:dyDescent="0.2">
      <c r="A99" s="110">
        <v>3</v>
      </c>
      <c r="B99" s="106"/>
      <c r="C99" s="99" t="s">
        <v>392</v>
      </c>
      <c r="D99" s="106" t="s">
        <v>109</v>
      </c>
      <c r="E99" s="152">
        <f>E97*5</f>
        <v>6.5</v>
      </c>
      <c r="F99" s="120"/>
      <c r="G99" s="121"/>
      <c r="H99" s="122"/>
      <c r="I99" s="121"/>
      <c r="J99" s="121"/>
      <c r="K99" s="179">
        <f t="shared" si="67"/>
        <v>0</v>
      </c>
      <c r="L99" s="184">
        <f t="shared" si="68"/>
        <v>0</v>
      </c>
      <c r="M99" s="121">
        <f t="shared" si="69"/>
        <v>0</v>
      </c>
      <c r="N99" s="121">
        <f t="shared" si="70"/>
        <v>0</v>
      </c>
      <c r="O99" s="121">
        <f t="shared" si="71"/>
        <v>0</v>
      </c>
      <c r="P99" s="123">
        <f t="shared" si="72"/>
        <v>0</v>
      </c>
    </row>
    <row r="100" spans="1:16" ht="13.2" x14ac:dyDescent="0.2">
      <c r="A100" s="110">
        <v>4</v>
      </c>
      <c r="B100" s="106" t="s">
        <v>60</v>
      </c>
      <c r="C100" s="100" t="s">
        <v>102</v>
      </c>
      <c r="D100" s="106" t="s">
        <v>73</v>
      </c>
      <c r="E100" s="112">
        <f>E97</f>
        <v>1.3</v>
      </c>
      <c r="F100" s="120"/>
      <c r="G100" s="121"/>
      <c r="H100" s="122">
        <f t="shared" ref="H100" si="73">ROUND(F100*G100,2)</f>
        <v>0</v>
      </c>
      <c r="I100" s="121"/>
      <c r="J100" s="121"/>
      <c r="K100" s="179">
        <f>ROUND(H100+J100+I100,2)</f>
        <v>0</v>
      </c>
      <c r="L100" s="184">
        <f>ROUND(E100*F100,2)</f>
        <v>0</v>
      </c>
      <c r="M100" s="121">
        <f>ROUND(E100*H100,2)</f>
        <v>0</v>
      </c>
      <c r="N100" s="121">
        <f>ROUND(E100*I100,2)</f>
        <v>0</v>
      </c>
      <c r="O100" s="121">
        <f>ROUND(E100*J100,2)</f>
        <v>0</v>
      </c>
      <c r="P100" s="123">
        <f>ROUND(O100+N100+M100,2)</f>
        <v>0</v>
      </c>
    </row>
    <row r="101" spans="1:16" ht="13.2" x14ac:dyDescent="0.2">
      <c r="A101" s="110">
        <v>5</v>
      </c>
      <c r="B101" s="106"/>
      <c r="C101" s="99" t="s">
        <v>373</v>
      </c>
      <c r="D101" s="106" t="s">
        <v>96</v>
      </c>
      <c r="E101" s="112">
        <f>E100*0.12</f>
        <v>0.156</v>
      </c>
      <c r="F101" s="120"/>
      <c r="G101" s="121"/>
      <c r="H101" s="122"/>
      <c r="I101" s="121"/>
      <c r="J101" s="121"/>
      <c r="K101" s="179">
        <f t="shared" ref="K101:K105" si="74">ROUND(H101+J101+I101,2)</f>
        <v>0</v>
      </c>
      <c r="L101" s="184">
        <f t="shared" ref="L101:L105" si="75">ROUND(E101*F101,2)</f>
        <v>0</v>
      </c>
      <c r="M101" s="121">
        <f t="shared" ref="M101:M105" si="76">ROUND(E101*H101,2)</f>
        <v>0</v>
      </c>
      <c r="N101" s="121">
        <f t="shared" ref="N101:N105" si="77">ROUND(E101*I101,2)</f>
        <v>0</v>
      </c>
      <c r="O101" s="121">
        <f t="shared" ref="O101:O105" si="78">ROUND(E101*J101,2)</f>
        <v>0</v>
      </c>
      <c r="P101" s="123">
        <f t="shared" ref="P101:P105" si="79">ROUND(O101+N101+M101,2)</f>
        <v>0</v>
      </c>
    </row>
    <row r="102" spans="1:16" ht="26.4" x14ac:dyDescent="0.2">
      <c r="A102" s="110">
        <v>6</v>
      </c>
      <c r="B102" s="106"/>
      <c r="C102" s="99" t="s">
        <v>378</v>
      </c>
      <c r="D102" s="106" t="s">
        <v>99</v>
      </c>
      <c r="E102" s="152">
        <f>E100*5</f>
        <v>6.5</v>
      </c>
      <c r="F102" s="120"/>
      <c r="G102" s="121"/>
      <c r="H102" s="122"/>
      <c r="I102" s="121"/>
      <c r="J102" s="121"/>
      <c r="K102" s="179">
        <f t="shared" si="74"/>
        <v>0</v>
      </c>
      <c r="L102" s="184">
        <f t="shared" si="75"/>
        <v>0</v>
      </c>
      <c r="M102" s="121">
        <f t="shared" si="76"/>
        <v>0</v>
      </c>
      <c r="N102" s="121">
        <f t="shared" si="77"/>
        <v>0</v>
      </c>
      <c r="O102" s="121">
        <f t="shared" si="78"/>
        <v>0</v>
      </c>
      <c r="P102" s="123">
        <f t="shared" si="79"/>
        <v>0</v>
      </c>
    </row>
    <row r="103" spans="1:16" ht="26.4" x14ac:dyDescent="0.2">
      <c r="A103" s="110">
        <v>7</v>
      </c>
      <c r="B103" s="106"/>
      <c r="C103" s="99" t="s">
        <v>379</v>
      </c>
      <c r="D103" s="106" t="s">
        <v>64</v>
      </c>
      <c r="E103" s="152">
        <f>ROUND(E97*8.15,0)</f>
        <v>11</v>
      </c>
      <c r="F103" s="120"/>
      <c r="G103" s="121"/>
      <c r="H103" s="122"/>
      <c r="I103" s="121"/>
      <c r="J103" s="121"/>
      <c r="K103" s="179">
        <f t="shared" si="74"/>
        <v>0</v>
      </c>
      <c r="L103" s="184">
        <f t="shared" si="75"/>
        <v>0</v>
      </c>
      <c r="M103" s="121">
        <f t="shared" si="76"/>
        <v>0</v>
      </c>
      <c r="N103" s="121">
        <f t="shared" si="77"/>
        <v>0</v>
      </c>
      <c r="O103" s="121">
        <f t="shared" si="78"/>
        <v>0</v>
      </c>
      <c r="P103" s="123">
        <f t="shared" si="79"/>
        <v>0</v>
      </c>
    </row>
    <row r="104" spans="1:16" ht="13.2" x14ac:dyDescent="0.2">
      <c r="A104" s="110">
        <v>8</v>
      </c>
      <c r="B104" s="106"/>
      <c r="C104" s="99" t="s">
        <v>110</v>
      </c>
      <c r="D104" s="106" t="s">
        <v>64</v>
      </c>
      <c r="E104" s="112">
        <f>E103</f>
        <v>11</v>
      </c>
      <c r="F104" s="120"/>
      <c r="G104" s="121"/>
      <c r="H104" s="122"/>
      <c r="I104" s="121"/>
      <c r="J104" s="121"/>
      <c r="K104" s="179">
        <f t="shared" si="74"/>
        <v>0</v>
      </c>
      <c r="L104" s="184">
        <f t="shared" si="75"/>
        <v>0</v>
      </c>
      <c r="M104" s="121">
        <f t="shared" si="76"/>
        <v>0</v>
      </c>
      <c r="N104" s="121">
        <f t="shared" si="77"/>
        <v>0</v>
      </c>
      <c r="O104" s="121">
        <f t="shared" si="78"/>
        <v>0</v>
      </c>
      <c r="P104" s="123">
        <f t="shared" si="79"/>
        <v>0</v>
      </c>
    </row>
    <row r="105" spans="1:16" ht="39.6" x14ac:dyDescent="0.2">
      <c r="A105" s="110">
        <v>9</v>
      </c>
      <c r="B105" s="106"/>
      <c r="C105" s="99" t="s">
        <v>286</v>
      </c>
      <c r="D105" s="106" t="s">
        <v>73</v>
      </c>
      <c r="E105" s="112">
        <f>E97*1.05</f>
        <v>1.3650000000000002</v>
      </c>
      <c r="F105" s="120"/>
      <c r="G105" s="121"/>
      <c r="H105" s="122"/>
      <c r="I105" s="121"/>
      <c r="J105" s="121"/>
      <c r="K105" s="179">
        <f t="shared" si="74"/>
        <v>0</v>
      </c>
      <c r="L105" s="184">
        <f t="shared" si="75"/>
        <v>0</v>
      </c>
      <c r="M105" s="121">
        <f t="shared" si="76"/>
        <v>0</v>
      </c>
      <c r="N105" s="121">
        <f t="shared" si="77"/>
        <v>0</v>
      </c>
      <c r="O105" s="121">
        <f t="shared" si="78"/>
        <v>0</v>
      </c>
      <c r="P105" s="123">
        <f t="shared" si="79"/>
        <v>0</v>
      </c>
    </row>
    <row r="106" spans="1:16" ht="13.2" x14ac:dyDescent="0.2">
      <c r="A106" s="110">
        <v>10</v>
      </c>
      <c r="B106" s="106" t="s">
        <v>60</v>
      </c>
      <c r="C106" s="100" t="s">
        <v>312</v>
      </c>
      <c r="D106" s="106" t="s">
        <v>73</v>
      </c>
      <c r="E106" s="112">
        <v>2.2599999999999998</v>
      </c>
      <c r="F106" s="120"/>
      <c r="G106" s="121"/>
      <c r="H106" s="122">
        <f t="shared" ref="H106" si="80">ROUND(F106*G106,2)</f>
        <v>0</v>
      </c>
      <c r="I106" s="121"/>
      <c r="J106" s="121"/>
      <c r="K106" s="179">
        <f t="shared" si="67"/>
        <v>0</v>
      </c>
      <c r="L106" s="184">
        <f t="shared" si="68"/>
        <v>0</v>
      </c>
      <c r="M106" s="121">
        <f t="shared" si="69"/>
        <v>0</v>
      </c>
      <c r="N106" s="121">
        <f t="shared" si="70"/>
        <v>0</v>
      </c>
      <c r="O106" s="121">
        <f t="shared" si="71"/>
        <v>0</v>
      </c>
      <c r="P106" s="123">
        <f t="shared" si="72"/>
        <v>0</v>
      </c>
    </row>
    <row r="107" spans="1:16" ht="13.2" x14ac:dyDescent="0.2">
      <c r="A107" s="110">
        <v>11</v>
      </c>
      <c r="B107" s="106"/>
      <c r="C107" s="99" t="s">
        <v>113</v>
      </c>
      <c r="D107" s="106" t="s">
        <v>96</v>
      </c>
      <c r="E107" s="112">
        <f>E106*0.12</f>
        <v>0.27119999999999994</v>
      </c>
      <c r="F107" s="120"/>
      <c r="G107" s="121"/>
      <c r="H107" s="122"/>
      <c r="I107" s="121"/>
      <c r="J107" s="121"/>
      <c r="K107" s="179">
        <f t="shared" si="67"/>
        <v>0</v>
      </c>
      <c r="L107" s="184">
        <f t="shared" si="68"/>
        <v>0</v>
      </c>
      <c r="M107" s="121">
        <f t="shared" si="69"/>
        <v>0</v>
      </c>
      <c r="N107" s="121">
        <f t="shared" si="70"/>
        <v>0</v>
      </c>
      <c r="O107" s="121">
        <f t="shared" si="71"/>
        <v>0</v>
      </c>
      <c r="P107" s="123">
        <f t="shared" si="72"/>
        <v>0</v>
      </c>
    </row>
    <row r="108" spans="1:16" ht="13.2" x14ac:dyDescent="0.2">
      <c r="A108" s="110">
        <v>12</v>
      </c>
      <c r="B108" s="106"/>
      <c r="C108" s="99" t="s">
        <v>114</v>
      </c>
      <c r="D108" s="106" t="s">
        <v>99</v>
      </c>
      <c r="E108" s="152">
        <f>E106*4.5</f>
        <v>10.169999999999998</v>
      </c>
      <c r="F108" s="120"/>
      <c r="G108" s="121"/>
      <c r="H108" s="122"/>
      <c r="I108" s="121"/>
      <c r="J108" s="121"/>
      <c r="K108" s="179">
        <f t="shared" si="67"/>
        <v>0</v>
      </c>
      <c r="L108" s="184">
        <f t="shared" si="68"/>
        <v>0</v>
      </c>
      <c r="M108" s="121">
        <f t="shared" si="69"/>
        <v>0</v>
      </c>
      <c r="N108" s="121">
        <f t="shared" si="70"/>
        <v>0</v>
      </c>
      <c r="O108" s="121">
        <f t="shared" si="71"/>
        <v>0</v>
      </c>
      <c r="P108" s="123">
        <f t="shared" si="72"/>
        <v>0</v>
      </c>
    </row>
    <row r="109" spans="1:16" ht="13.2" x14ac:dyDescent="0.2">
      <c r="A109" s="110">
        <v>13</v>
      </c>
      <c r="B109" s="106"/>
      <c r="C109" s="99" t="s">
        <v>101</v>
      </c>
      <c r="D109" s="106" t="s">
        <v>73</v>
      </c>
      <c r="E109" s="112">
        <f>E106*1.2</f>
        <v>2.7119999999999997</v>
      </c>
      <c r="F109" s="120"/>
      <c r="G109" s="121"/>
      <c r="H109" s="122"/>
      <c r="I109" s="121"/>
      <c r="J109" s="121"/>
      <c r="K109" s="179">
        <f t="shared" si="67"/>
        <v>0</v>
      </c>
      <c r="L109" s="184">
        <f t="shared" si="68"/>
        <v>0</v>
      </c>
      <c r="M109" s="121">
        <f t="shared" si="69"/>
        <v>0</v>
      </c>
      <c r="N109" s="121">
        <f t="shared" si="70"/>
        <v>0</v>
      </c>
      <c r="O109" s="121">
        <f t="shared" si="71"/>
        <v>0</v>
      </c>
      <c r="P109" s="123">
        <f t="shared" si="72"/>
        <v>0</v>
      </c>
    </row>
    <row r="110" spans="1:16" ht="13.2" x14ac:dyDescent="0.2">
      <c r="A110" s="110">
        <v>14</v>
      </c>
      <c r="B110" s="106"/>
      <c r="C110" s="99" t="s">
        <v>380</v>
      </c>
      <c r="D110" s="106" t="s">
        <v>62</v>
      </c>
      <c r="E110" s="112">
        <f>6.6*1.1</f>
        <v>7.26</v>
      </c>
      <c r="F110" s="120"/>
      <c r="G110" s="121"/>
      <c r="H110" s="122"/>
      <c r="I110" s="121"/>
      <c r="J110" s="121"/>
      <c r="K110" s="179">
        <f t="shared" si="67"/>
        <v>0</v>
      </c>
      <c r="L110" s="184">
        <f t="shared" si="68"/>
        <v>0</v>
      </c>
      <c r="M110" s="121">
        <f t="shared" si="69"/>
        <v>0</v>
      </c>
      <c r="N110" s="121">
        <f t="shared" si="70"/>
        <v>0</v>
      </c>
      <c r="O110" s="121">
        <f t="shared" si="71"/>
        <v>0</v>
      </c>
      <c r="P110" s="123">
        <f t="shared" si="72"/>
        <v>0</v>
      </c>
    </row>
    <row r="111" spans="1:16" ht="13.2" x14ac:dyDescent="0.2">
      <c r="A111" s="110">
        <v>15</v>
      </c>
      <c r="B111" s="106"/>
      <c r="C111" s="99" t="s">
        <v>313</v>
      </c>
      <c r="D111" s="106" t="s">
        <v>62</v>
      </c>
      <c r="E111" s="112">
        <f>6*1.1</f>
        <v>6.6000000000000005</v>
      </c>
      <c r="F111" s="120"/>
      <c r="G111" s="121"/>
      <c r="H111" s="122"/>
      <c r="I111" s="121"/>
      <c r="J111" s="121"/>
      <c r="K111" s="179">
        <f t="shared" si="67"/>
        <v>0</v>
      </c>
      <c r="L111" s="184">
        <f t="shared" si="68"/>
        <v>0</v>
      </c>
      <c r="M111" s="121">
        <f t="shared" si="69"/>
        <v>0</v>
      </c>
      <c r="N111" s="121">
        <f t="shared" si="70"/>
        <v>0</v>
      </c>
      <c r="O111" s="121">
        <f t="shared" si="71"/>
        <v>0</v>
      </c>
      <c r="P111" s="123">
        <f t="shared" si="72"/>
        <v>0</v>
      </c>
    </row>
    <row r="112" spans="1:16" ht="13.2" x14ac:dyDescent="0.2">
      <c r="A112" s="110">
        <v>16</v>
      </c>
      <c r="B112" s="106" t="s">
        <v>60</v>
      </c>
      <c r="C112" s="100" t="s">
        <v>117</v>
      </c>
      <c r="D112" s="106" t="s">
        <v>73</v>
      </c>
      <c r="E112" s="112">
        <f>E106</f>
        <v>2.2599999999999998</v>
      </c>
      <c r="F112" s="120"/>
      <c r="G112" s="121"/>
      <c r="H112" s="122">
        <f t="shared" ref="H112" si="81">ROUND(F112*G112,2)</f>
        <v>0</v>
      </c>
      <c r="I112" s="121"/>
      <c r="J112" s="121"/>
      <c r="K112" s="179">
        <f t="shared" si="67"/>
        <v>0</v>
      </c>
      <c r="L112" s="184">
        <f t="shared" si="68"/>
        <v>0</v>
      </c>
      <c r="M112" s="121">
        <f t="shared" si="69"/>
        <v>0</v>
      </c>
      <c r="N112" s="121">
        <f t="shared" si="70"/>
        <v>0</v>
      </c>
      <c r="O112" s="121">
        <f t="shared" si="71"/>
        <v>0</v>
      </c>
      <c r="P112" s="123">
        <f t="shared" si="72"/>
        <v>0</v>
      </c>
    </row>
    <row r="113" spans="1:27" ht="26.4" x14ac:dyDescent="0.2">
      <c r="A113" s="110">
        <v>17</v>
      </c>
      <c r="B113" s="106"/>
      <c r="C113" s="99" t="s">
        <v>291</v>
      </c>
      <c r="D113" s="106" t="s">
        <v>96</v>
      </c>
      <c r="E113" s="112">
        <f>E112*0.17</f>
        <v>0.38419999999999999</v>
      </c>
      <c r="F113" s="120"/>
      <c r="G113" s="121"/>
      <c r="H113" s="122"/>
      <c r="I113" s="121"/>
      <c r="J113" s="121"/>
      <c r="K113" s="179">
        <f t="shared" si="67"/>
        <v>0</v>
      </c>
      <c r="L113" s="184">
        <f t="shared" si="68"/>
        <v>0</v>
      </c>
      <c r="M113" s="121">
        <f t="shared" si="69"/>
        <v>0</v>
      </c>
      <c r="N113" s="121">
        <f t="shared" si="70"/>
        <v>0</v>
      </c>
      <c r="O113" s="121">
        <f t="shared" si="71"/>
        <v>0</v>
      </c>
      <c r="P113" s="123">
        <f t="shared" si="72"/>
        <v>0</v>
      </c>
    </row>
    <row r="114" spans="1:27" ht="26.4" x14ac:dyDescent="0.2">
      <c r="A114" s="110">
        <v>18</v>
      </c>
      <c r="B114" s="106"/>
      <c r="C114" s="99" t="s">
        <v>405</v>
      </c>
      <c r="D114" s="106" t="s">
        <v>99</v>
      </c>
      <c r="E114" s="112">
        <f>E112*4</f>
        <v>9.0399999999999991</v>
      </c>
      <c r="F114" s="120"/>
      <c r="G114" s="121"/>
      <c r="H114" s="122"/>
      <c r="I114" s="121"/>
      <c r="J114" s="121"/>
      <c r="K114" s="179">
        <f t="shared" si="67"/>
        <v>0</v>
      </c>
      <c r="L114" s="184">
        <f t="shared" si="68"/>
        <v>0</v>
      </c>
      <c r="M114" s="121">
        <f t="shared" si="69"/>
        <v>0</v>
      </c>
      <c r="N114" s="121">
        <f t="shared" si="70"/>
        <v>0</v>
      </c>
      <c r="O114" s="121">
        <f t="shared" si="71"/>
        <v>0</v>
      </c>
      <c r="P114" s="123">
        <f t="shared" si="72"/>
        <v>0</v>
      </c>
    </row>
    <row r="115" spans="1:27" ht="26.4" x14ac:dyDescent="0.2">
      <c r="A115" s="163"/>
      <c r="B115" s="164"/>
      <c r="C115" s="165" t="s">
        <v>314</v>
      </c>
      <c r="D115" s="166"/>
      <c r="E115" s="167"/>
      <c r="F115" s="168"/>
      <c r="G115" s="169"/>
      <c r="H115" s="169"/>
      <c r="I115" s="169"/>
      <c r="J115" s="169"/>
      <c r="K115" s="192"/>
      <c r="L115" s="193"/>
      <c r="M115" s="169"/>
      <c r="N115" s="169"/>
      <c r="O115" s="169"/>
      <c r="P115" s="170"/>
      <c r="R115" s="294"/>
      <c r="S115" s="294"/>
      <c r="T115" s="294"/>
      <c r="U115" s="294"/>
      <c r="V115" s="294"/>
      <c r="W115" s="294"/>
      <c r="X115" s="294"/>
      <c r="Y115" s="294"/>
      <c r="Z115" s="294"/>
      <c r="AA115" s="294"/>
    </row>
    <row r="116" spans="1:27" ht="26.4" x14ac:dyDescent="0.2">
      <c r="A116" s="110">
        <v>1</v>
      </c>
      <c r="B116" s="106" t="s">
        <v>60</v>
      </c>
      <c r="C116" s="100" t="s">
        <v>123</v>
      </c>
      <c r="D116" s="106" t="s">
        <v>73</v>
      </c>
      <c r="E116" s="112">
        <v>0.98</v>
      </c>
      <c r="F116" s="120"/>
      <c r="G116" s="121"/>
      <c r="H116" s="122">
        <f t="shared" ref="H116:H117" si="82">ROUND(F116*G116,2)</f>
        <v>0</v>
      </c>
      <c r="I116" s="121"/>
      <c r="J116" s="121"/>
      <c r="K116" s="179">
        <f>ROUND(H116+J116+I116,2)</f>
        <v>0</v>
      </c>
      <c r="L116" s="184">
        <f>ROUND(E116*F116,2)</f>
        <v>0</v>
      </c>
      <c r="M116" s="121">
        <f>ROUND(E116*H116,2)</f>
        <v>0</v>
      </c>
      <c r="N116" s="121">
        <f>ROUND(E116*I116,2)</f>
        <v>0</v>
      </c>
      <c r="O116" s="121">
        <f>ROUND(E116*J116,2)</f>
        <v>0</v>
      </c>
      <c r="P116" s="123">
        <f>ROUND(O116+N116+M116,2)</f>
        <v>0</v>
      </c>
    </row>
    <row r="117" spans="1:27" ht="26.4" x14ac:dyDescent="0.2">
      <c r="A117" s="110">
        <v>2</v>
      </c>
      <c r="B117" s="106" t="s">
        <v>60</v>
      </c>
      <c r="C117" s="100" t="s">
        <v>107</v>
      </c>
      <c r="D117" s="106" t="s">
        <v>73</v>
      </c>
      <c r="E117" s="112">
        <v>0.98</v>
      </c>
      <c r="F117" s="120"/>
      <c r="G117" s="121"/>
      <c r="H117" s="122">
        <f t="shared" si="82"/>
        <v>0</v>
      </c>
      <c r="I117" s="121"/>
      <c r="J117" s="121"/>
      <c r="K117" s="179">
        <f>ROUND(H117+J117+I117,2)</f>
        <v>0</v>
      </c>
      <c r="L117" s="184">
        <f>ROUND(E117*F117,2)</f>
        <v>0</v>
      </c>
      <c r="M117" s="121">
        <f>ROUND(E117*H117,2)</f>
        <v>0</v>
      </c>
      <c r="N117" s="121">
        <f>ROUND(E117*I117,2)</f>
        <v>0</v>
      </c>
      <c r="O117" s="121">
        <f>ROUND(E117*J117,2)</f>
        <v>0</v>
      </c>
      <c r="P117" s="123">
        <f>ROUND(O117+N117+M117,2)</f>
        <v>0</v>
      </c>
    </row>
    <row r="118" spans="1:27" ht="13.2" x14ac:dyDescent="0.2">
      <c r="A118" s="110">
        <v>3</v>
      </c>
      <c r="B118" s="106"/>
      <c r="C118" s="99" t="s">
        <v>373</v>
      </c>
      <c r="D118" s="106" t="s">
        <v>96</v>
      </c>
      <c r="E118" s="112">
        <f>E117*0.12</f>
        <v>0.1176</v>
      </c>
      <c r="F118" s="120"/>
      <c r="G118" s="121"/>
      <c r="H118" s="122"/>
      <c r="I118" s="121"/>
      <c r="J118" s="121"/>
      <c r="K118" s="179">
        <f t="shared" ref="K118:K119" si="83">ROUND(H118+J118+I118,2)</f>
        <v>0</v>
      </c>
      <c r="L118" s="184">
        <f t="shared" ref="L118:L119" si="84">ROUND(E118*F118,2)</f>
        <v>0</v>
      </c>
      <c r="M118" s="121">
        <f t="shared" ref="M118:M119" si="85">ROUND(E118*H118,2)</f>
        <v>0</v>
      </c>
      <c r="N118" s="121">
        <f t="shared" ref="N118:N119" si="86">ROUND(E118*I118,2)</f>
        <v>0</v>
      </c>
      <c r="O118" s="121">
        <f t="shared" ref="O118:O119" si="87">ROUND(E118*J118,2)</f>
        <v>0</v>
      </c>
      <c r="P118" s="123">
        <f t="shared" ref="P118:P119" si="88">ROUND(O118+N118+M118,2)</f>
        <v>0</v>
      </c>
    </row>
    <row r="119" spans="1:27" ht="26.4" x14ac:dyDescent="0.2">
      <c r="A119" s="110">
        <v>4</v>
      </c>
      <c r="B119" s="106"/>
      <c r="C119" s="99" t="s">
        <v>391</v>
      </c>
      <c r="D119" s="106" t="s">
        <v>109</v>
      </c>
      <c r="E119" s="112">
        <f>E117*5</f>
        <v>4.9000000000000004</v>
      </c>
      <c r="F119" s="120"/>
      <c r="G119" s="121"/>
      <c r="H119" s="122"/>
      <c r="I119" s="121"/>
      <c r="J119" s="121"/>
      <c r="K119" s="179">
        <f t="shared" si="83"/>
        <v>0</v>
      </c>
      <c r="L119" s="184">
        <f t="shared" si="84"/>
        <v>0</v>
      </c>
      <c r="M119" s="121">
        <f t="shared" si="85"/>
        <v>0</v>
      </c>
      <c r="N119" s="121">
        <f t="shared" si="86"/>
        <v>0</v>
      </c>
      <c r="O119" s="121">
        <f t="shared" si="87"/>
        <v>0</v>
      </c>
      <c r="P119" s="123">
        <f t="shared" si="88"/>
        <v>0</v>
      </c>
    </row>
    <row r="120" spans="1:27" ht="13.2" x14ac:dyDescent="0.2">
      <c r="A120" s="110">
        <v>5</v>
      </c>
      <c r="B120" s="106" t="s">
        <v>60</v>
      </c>
      <c r="C120" s="100" t="s">
        <v>124</v>
      </c>
      <c r="D120" s="106" t="s">
        <v>73</v>
      </c>
      <c r="E120" s="112">
        <f>E117</f>
        <v>0.98</v>
      </c>
      <c r="F120" s="120"/>
      <c r="G120" s="121"/>
      <c r="H120" s="122">
        <f>ROUND(F120*G120,2)</f>
        <v>0</v>
      </c>
      <c r="I120" s="121"/>
      <c r="J120" s="121"/>
      <c r="K120" s="179">
        <f>ROUND(H120+J120+I120,2)</f>
        <v>0</v>
      </c>
      <c r="L120" s="184">
        <f>ROUND(E120*F120,2)</f>
        <v>0</v>
      </c>
      <c r="M120" s="121">
        <f>ROUND(E120*H120,2)</f>
        <v>0</v>
      </c>
      <c r="N120" s="121">
        <f>ROUND(E120*I120,2)</f>
        <v>0</v>
      </c>
      <c r="O120" s="121">
        <f>ROUND(E120*J120,2)</f>
        <v>0</v>
      </c>
      <c r="P120" s="123">
        <f>ROUND(O120+N120+M120,2)</f>
        <v>0</v>
      </c>
    </row>
    <row r="121" spans="1:27" ht="13.2" x14ac:dyDescent="0.2">
      <c r="A121" s="110">
        <v>6</v>
      </c>
      <c r="B121" s="106"/>
      <c r="C121" s="99" t="s">
        <v>125</v>
      </c>
      <c r="D121" s="106" t="s">
        <v>126</v>
      </c>
      <c r="E121" s="112">
        <f>ROUND(E120/4,2)</f>
        <v>0.25</v>
      </c>
      <c r="F121" s="120"/>
      <c r="G121" s="121"/>
      <c r="H121" s="122"/>
      <c r="I121" s="121"/>
      <c r="J121" s="121"/>
      <c r="K121" s="179">
        <f t="shared" ref="K121:K126" si="89">ROUND(H121+J121+I121,2)</f>
        <v>0</v>
      </c>
      <c r="L121" s="184">
        <f t="shared" ref="L121:L126" si="90">ROUND(E121*F121,2)</f>
        <v>0</v>
      </c>
      <c r="M121" s="121">
        <f t="shared" ref="M121:M126" si="91">ROUND(E121*H121,2)</f>
        <v>0</v>
      </c>
      <c r="N121" s="121">
        <f t="shared" ref="N121:N126" si="92">ROUND(E121*I121,2)</f>
        <v>0</v>
      </c>
      <c r="O121" s="121">
        <f t="shared" ref="O121:O126" si="93">ROUND(E121*J121,2)</f>
        <v>0</v>
      </c>
      <c r="P121" s="123">
        <f t="shared" ref="P121:P126" si="94">ROUND(O121+N121+M121,2)</f>
        <v>0</v>
      </c>
    </row>
    <row r="122" spans="1:27" ht="26.4" x14ac:dyDescent="0.2">
      <c r="A122" s="110">
        <v>7</v>
      </c>
      <c r="B122" s="106"/>
      <c r="C122" s="99" t="s">
        <v>375</v>
      </c>
      <c r="D122" s="106" t="s">
        <v>73</v>
      </c>
      <c r="E122" s="112">
        <f>E120*1.02</f>
        <v>0.99960000000000004</v>
      </c>
      <c r="F122" s="120"/>
      <c r="G122" s="121"/>
      <c r="H122" s="122"/>
      <c r="I122" s="121"/>
      <c r="J122" s="121"/>
      <c r="K122" s="179">
        <f t="shared" si="89"/>
        <v>0</v>
      </c>
      <c r="L122" s="184">
        <f t="shared" si="90"/>
        <v>0</v>
      </c>
      <c r="M122" s="121">
        <f t="shared" si="91"/>
        <v>0</v>
      </c>
      <c r="N122" s="121">
        <f t="shared" si="92"/>
        <v>0</v>
      </c>
      <c r="O122" s="121">
        <f t="shared" si="93"/>
        <v>0</v>
      </c>
      <c r="P122" s="123">
        <f t="shared" si="94"/>
        <v>0</v>
      </c>
    </row>
    <row r="123" spans="1:27" ht="13.2" x14ac:dyDescent="0.2">
      <c r="A123" s="110">
        <v>8</v>
      </c>
      <c r="B123" s="106" t="s">
        <v>60</v>
      </c>
      <c r="C123" s="100" t="s">
        <v>112</v>
      </c>
      <c r="D123" s="106" t="s">
        <v>73</v>
      </c>
      <c r="E123" s="112">
        <f>E120</f>
        <v>0.98</v>
      </c>
      <c r="F123" s="120"/>
      <c r="G123" s="121"/>
      <c r="H123" s="122">
        <f t="shared" ref="H123" si="95">ROUND(F123*G123,2)</f>
        <v>0</v>
      </c>
      <c r="I123" s="121"/>
      <c r="J123" s="121"/>
      <c r="K123" s="179">
        <f t="shared" si="89"/>
        <v>0</v>
      </c>
      <c r="L123" s="184">
        <f t="shared" si="90"/>
        <v>0</v>
      </c>
      <c r="M123" s="121">
        <f t="shared" si="91"/>
        <v>0</v>
      </c>
      <c r="N123" s="121">
        <f t="shared" si="92"/>
        <v>0</v>
      </c>
      <c r="O123" s="121">
        <f t="shared" si="93"/>
        <v>0</v>
      </c>
      <c r="P123" s="123">
        <f t="shared" si="94"/>
        <v>0</v>
      </c>
    </row>
    <row r="124" spans="1:27" ht="13.2" x14ac:dyDescent="0.2">
      <c r="A124" s="110">
        <v>9</v>
      </c>
      <c r="B124" s="106"/>
      <c r="C124" s="99" t="s">
        <v>113</v>
      </c>
      <c r="D124" s="106" t="s">
        <v>96</v>
      </c>
      <c r="E124" s="112">
        <f>E123*0.12</f>
        <v>0.1176</v>
      </c>
      <c r="F124" s="120"/>
      <c r="G124" s="121"/>
      <c r="H124" s="122"/>
      <c r="I124" s="121"/>
      <c r="J124" s="121"/>
      <c r="K124" s="179">
        <f t="shared" si="89"/>
        <v>0</v>
      </c>
      <c r="L124" s="184">
        <f t="shared" si="90"/>
        <v>0</v>
      </c>
      <c r="M124" s="121">
        <f t="shared" si="91"/>
        <v>0</v>
      </c>
      <c r="N124" s="121">
        <f t="shared" si="92"/>
        <v>0</v>
      </c>
      <c r="O124" s="121">
        <f t="shared" si="93"/>
        <v>0</v>
      </c>
      <c r="P124" s="123">
        <f t="shared" si="94"/>
        <v>0</v>
      </c>
    </row>
    <row r="125" spans="1:27" ht="13.2" x14ac:dyDescent="0.2">
      <c r="A125" s="110">
        <v>10</v>
      </c>
      <c r="B125" s="106"/>
      <c r="C125" s="99" t="s">
        <v>376</v>
      </c>
      <c r="D125" s="106" t="s">
        <v>99</v>
      </c>
      <c r="E125" s="112">
        <f>E123*4.5</f>
        <v>4.41</v>
      </c>
      <c r="F125" s="120"/>
      <c r="G125" s="121"/>
      <c r="H125" s="122"/>
      <c r="I125" s="121"/>
      <c r="J125" s="121"/>
      <c r="K125" s="179">
        <f t="shared" si="89"/>
        <v>0</v>
      </c>
      <c r="L125" s="184">
        <f t="shared" si="90"/>
        <v>0</v>
      </c>
      <c r="M125" s="121">
        <f t="shared" si="91"/>
        <v>0</v>
      </c>
      <c r="N125" s="121">
        <f t="shared" si="92"/>
        <v>0</v>
      </c>
      <c r="O125" s="121">
        <f t="shared" si="93"/>
        <v>0</v>
      </c>
      <c r="P125" s="123">
        <f t="shared" si="94"/>
        <v>0</v>
      </c>
    </row>
    <row r="126" spans="1:27" ht="13.2" x14ac:dyDescent="0.2">
      <c r="A126" s="110">
        <v>11</v>
      </c>
      <c r="B126" s="106"/>
      <c r="C126" s="99" t="s">
        <v>101</v>
      </c>
      <c r="D126" s="106" t="s">
        <v>73</v>
      </c>
      <c r="E126" s="112">
        <f>E123*1.2</f>
        <v>1.1759999999999999</v>
      </c>
      <c r="F126" s="120"/>
      <c r="G126" s="121"/>
      <c r="H126" s="122"/>
      <c r="I126" s="121"/>
      <c r="J126" s="121"/>
      <c r="K126" s="179">
        <f t="shared" si="89"/>
        <v>0</v>
      </c>
      <c r="L126" s="184">
        <f t="shared" si="90"/>
        <v>0</v>
      </c>
      <c r="M126" s="121">
        <f t="shared" si="91"/>
        <v>0</v>
      </c>
      <c r="N126" s="121">
        <f t="shared" si="92"/>
        <v>0</v>
      </c>
      <c r="O126" s="121">
        <f t="shared" si="93"/>
        <v>0</v>
      </c>
      <c r="P126" s="123">
        <f t="shared" si="94"/>
        <v>0</v>
      </c>
    </row>
    <row r="127" spans="1:27" ht="26.4" x14ac:dyDescent="0.2">
      <c r="A127" s="110">
        <v>12</v>
      </c>
      <c r="B127" s="106" t="s">
        <v>60</v>
      </c>
      <c r="C127" s="100" t="s">
        <v>381</v>
      </c>
      <c r="D127" s="106" t="s">
        <v>62</v>
      </c>
      <c r="E127" s="112">
        <v>1.95</v>
      </c>
      <c r="F127" s="120"/>
      <c r="G127" s="121"/>
      <c r="H127" s="122">
        <f t="shared" ref="H127:H131" si="96">ROUND(F127*G127,2)</f>
        <v>0</v>
      </c>
      <c r="I127" s="121"/>
      <c r="J127" s="121"/>
      <c r="K127" s="179">
        <f t="shared" si="61"/>
        <v>0</v>
      </c>
      <c r="L127" s="184">
        <f t="shared" si="62"/>
        <v>0</v>
      </c>
      <c r="M127" s="121">
        <f t="shared" si="63"/>
        <v>0</v>
      </c>
      <c r="N127" s="121">
        <f t="shared" si="64"/>
        <v>0</v>
      </c>
      <c r="O127" s="121">
        <f t="shared" si="65"/>
        <v>0</v>
      </c>
      <c r="P127" s="123">
        <f t="shared" si="66"/>
        <v>0</v>
      </c>
    </row>
    <row r="128" spans="1:27" ht="13.2" x14ac:dyDescent="0.2">
      <c r="A128" s="110">
        <v>13</v>
      </c>
      <c r="B128" s="106" t="s">
        <v>60</v>
      </c>
      <c r="C128" s="100" t="s">
        <v>315</v>
      </c>
      <c r="D128" s="106" t="s">
        <v>62</v>
      </c>
      <c r="E128" s="112">
        <v>1.25</v>
      </c>
      <c r="F128" s="120"/>
      <c r="G128" s="121"/>
      <c r="H128" s="122">
        <f t="shared" si="96"/>
        <v>0</v>
      </c>
      <c r="I128" s="121"/>
      <c r="J128" s="121"/>
      <c r="K128" s="179">
        <f t="shared" si="61"/>
        <v>0</v>
      </c>
      <c r="L128" s="184">
        <f t="shared" si="62"/>
        <v>0</v>
      </c>
      <c r="M128" s="121">
        <f t="shared" si="63"/>
        <v>0</v>
      </c>
      <c r="N128" s="121">
        <f t="shared" si="64"/>
        <v>0</v>
      </c>
      <c r="O128" s="121">
        <f t="shared" si="65"/>
        <v>0</v>
      </c>
      <c r="P128" s="123">
        <f t="shared" si="66"/>
        <v>0</v>
      </c>
    </row>
    <row r="129" spans="1:16" ht="13.2" x14ac:dyDescent="0.2">
      <c r="A129" s="110">
        <v>14</v>
      </c>
      <c r="B129" s="149" t="s">
        <v>60</v>
      </c>
      <c r="C129" s="100" t="s">
        <v>316</v>
      </c>
      <c r="D129" s="106" t="s">
        <v>62</v>
      </c>
      <c r="E129" s="112">
        <v>6.8</v>
      </c>
      <c r="F129" s="120"/>
      <c r="G129" s="121"/>
      <c r="H129" s="122">
        <f t="shared" si="96"/>
        <v>0</v>
      </c>
      <c r="I129" s="121"/>
      <c r="J129" s="121"/>
      <c r="K129" s="179">
        <f t="shared" si="61"/>
        <v>0</v>
      </c>
      <c r="L129" s="184">
        <f t="shared" si="62"/>
        <v>0</v>
      </c>
      <c r="M129" s="121">
        <f t="shared" si="63"/>
        <v>0</v>
      </c>
      <c r="N129" s="121">
        <f t="shared" si="64"/>
        <v>0</v>
      </c>
      <c r="O129" s="121">
        <f t="shared" si="65"/>
        <v>0</v>
      </c>
      <c r="P129" s="123">
        <f t="shared" si="66"/>
        <v>0</v>
      </c>
    </row>
    <row r="130" spans="1:16" ht="13.2" x14ac:dyDescent="0.2">
      <c r="A130" s="110">
        <v>15</v>
      </c>
      <c r="B130" s="149" t="s">
        <v>60</v>
      </c>
      <c r="C130" s="100" t="s">
        <v>317</v>
      </c>
      <c r="D130" s="106" t="s">
        <v>62</v>
      </c>
      <c r="E130" s="112">
        <v>6.8</v>
      </c>
      <c r="F130" s="120"/>
      <c r="G130" s="121"/>
      <c r="H130" s="122">
        <f t="shared" si="96"/>
        <v>0</v>
      </c>
      <c r="I130" s="121"/>
      <c r="J130" s="121"/>
      <c r="K130" s="179">
        <f t="shared" si="61"/>
        <v>0</v>
      </c>
      <c r="L130" s="184">
        <f t="shared" si="62"/>
        <v>0</v>
      </c>
      <c r="M130" s="121">
        <f t="shared" si="63"/>
        <v>0</v>
      </c>
      <c r="N130" s="121">
        <f t="shared" si="64"/>
        <v>0</v>
      </c>
      <c r="O130" s="121">
        <f t="shared" si="65"/>
        <v>0</v>
      </c>
      <c r="P130" s="123">
        <f t="shared" si="66"/>
        <v>0</v>
      </c>
    </row>
    <row r="131" spans="1:16" ht="26.4" x14ac:dyDescent="0.2">
      <c r="A131" s="110">
        <v>16</v>
      </c>
      <c r="B131" s="106" t="s">
        <v>60</v>
      </c>
      <c r="C131" s="100" t="s">
        <v>318</v>
      </c>
      <c r="D131" s="106" t="s">
        <v>89</v>
      </c>
      <c r="E131" s="112">
        <v>0.03</v>
      </c>
      <c r="F131" s="120"/>
      <c r="G131" s="121"/>
      <c r="H131" s="122">
        <f t="shared" si="96"/>
        <v>0</v>
      </c>
      <c r="I131" s="121"/>
      <c r="J131" s="121"/>
      <c r="K131" s="179">
        <f t="shared" si="61"/>
        <v>0</v>
      </c>
      <c r="L131" s="184">
        <f t="shared" si="62"/>
        <v>0</v>
      </c>
      <c r="M131" s="121">
        <f t="shared" si="63"/>
        <v>0</v>
      </c>
      <c r="N131" s="121">
        <f t="shared" si="64"/>
        <v>0</v>
      </c>
      <c r="O131" s="121">
        <f t="shared" si="65"/>
        <v>0</v>
      </c>
      <c r="P131" s="123">
        <f t="shared" si="66"/>
        <v>0</v>
      </c>
    </row>
    <row r="132" spans="1:16" ht="26.4" x14ac:dyDescent="0.2">
      <c r="A132" s="110">
        <v>17</v>
      </c>
      <c r="B132" s="106" t="s">
        <v>60</v>
      </c>
      <c r="C132" s="100" t="s">
        <v>319</v>
      </c>
      <c r="D132" s="106" t="s">
        <v>73</v>
      </c>
      <c r="E132" s="112">
        <v>0.36</v>
      </c>
      <c r="F132" s="120"/>
      <c r="G132" s="121"/>
      <c r="H132" s="122">
        <f>ROUND(F132*G132,2)</f>
        <v>0</v>
      </c>
      <c r="I132" s="121"/>
      <c r="J132" s="121"/>
      <c r="K132" s="179">
        <f t="shared" si="61"/>
        <v>0</v>
      </c>
      <c r="L132" s="184">
        <f t="shared" si="62"/>
        <v>0</v>
      </c>
      <c r="M132" s="121">
        <f t="shared" si="63"/>
        <v>0</v>
      </c>
      <c r="N132" s="121">
        <f t="shared" si="64"/>
        <v>0</v>
      </c>
      <c r="O132" s="121">
        <f t="shared" si="65"/>
        <v>0</v>
      </c>
      <c r="P132" s="123">
        <f t="shared" si="66"/>
        <v>0</v>
      </c>
    </row>
    <row r="133" spans="1:16" ht="26.4" x14ac:dyDescent="0.2">
      <c r="A133" s="110">
        <v>18</v>
      </c>
      <c r="B133" s="149" t="s">
        <v>60</v>
      </c>
      <c r="C133" s="108" t="s">
        <v>320</v>
      </c>
      <c r="D133" s="106" t="s">
        <v>73</v>
      </c>
      <c r="E133" s="109">
        <v>1.39</v>
      </c>
      <c r="F133" s="120"/>
      <c r="G133" s="121"/>
      <c r="H133" s="122">
        <f t="shared" ref="H133:H134" si="97">ROUND(F133*G133,2)</f>
        <v>0</v>
      </c>
      <c r="I133" s="121"/>
      <c r="J133" s="121"/>
      <c r="K133" s="179">
        <f t="shared" si="61"/>
        <v>0</v>
      </c>
      <c r="L133" s="184">
        <f t="shared" si="62"/>
        <v>0</v>
      </c>
      <c r="M133" s="121">
        <f t="shared" si="63"/>
        <v>0</v>
      </c>
      <c r="N133" s="121">
        <f t="shared" si="64"/>
        <v>0</v>
      </c>
      <c r="O133" s="121">
        <f t="shared" si="65"/>
        <v>0</v>
      </c>
      <c r="P133" s="123">
        <f t="shared" si="66"/>
        <v>0</v>
      </c>
    </row>
    <row r="134" spans="1:16" ht="26.4" x14ac:dyDescent="0.2">
      <c r="A134" s="110">
        <v>19</v>
      </c>
      <c r="B134" s="149" t="s">
        <v>60</v>
      </c>
      <c r="C134" s="108" t="s">
        <v>321</v>
      </c>
      <c r="D134" s="106" t="s">
        <v>73</v>
      </c>
      <c r="E134" s="109">
        <v>1.39</v>
      </c>
      <c r="F134" s="120"/>
      <c r="G134" s="121"/>
      <c r="H134" s="122">
        <f t="shared" si="97"/>
        <v>0</v>
      </c>
      <c r="I134" s="121"/>
      <c r="J134" s="121"/>
      <c r="K134" s="179">
        <f t="shared" si="61"/>
        <v>0</v>
      </c>
      <c r="L134" s="184">
        <f t="shared" si="62"/>
        <v>0</v>
      </c>
      <c r="M134" s="121">
        <f t="shared" si="63"/>
        <v>0</v>
      </c>
      <c r="N134" s="121">
        <f t="shared" si="64"/>
        <v>0</v>
      </c>
      <c r="O134" s="121">
        <f t="shared" si="65"/>
        <v>0</v>
      </c>
      <c r="P134" s="123">
        <f t="shared" si="66"/>
        <v>0</v>
      </c>
    </row>
    <row r="135" spans="1:16" ht="26.4" x14ac:dyDescent="0.2">
      <c r="A135" s="110">
        <v>20</v>
      </c>
      <c r="B135" s="106" t="s">
        <v>60</v>
      </c>
      <c r="C135" s="100" t="s">
        <v>319</v>
      </c>
      <c r="D135" s="106" t="s">
        <v>62</v>
      </c>
      <c r="E135" s="112">
        <v>1.5</v>
      </c>
      <c r="F135" s="120"/>
      <c r="G135" s="121"/>
      <c r="H135" s="122">
        <f>ROUND(F135*G135,2)</f>
        <v>0</v>
      </c>
      <c r="I135" s="121"/>
      <c r="J135" s="121"/>
      <c r="K135" s="179">
        <f t="shared" ref="K135" si="98">ROUND(H135+J135+I135,2)</f>
        <v>0</v>
      </c>
      <c r="L135" s="184">
        <f t="shared" ref="L135" si="99">ROUND(E135*F135,2)</f>
        <v>0</v>
      </c>
      <c r="M135" s="121">
        <f t="shared" ref="M135" si="100">ROUND(E135*H135,2)</f>
        <v>0</v>
      </c>
      <c r="N135" s="121">
        <f t="shared" ref="N135" si="101">ROUND(E135*I135,2)</f>
        <v>0</v>
      </c>
      <c r="O135" s="121">
        <f t="shared" ref="O135" si="102">ROUND(E135*J135,2)</f>
        <v>0</v>
      </c>
      <c r="P135" s="123">
        <f t="shared" ref="P135" si="103">ROUND(O135+N135+M135,2)</f>
        <v>0</v>
      </c>
    </row>
    <row r="136" spans="1:16" ht="26.4" x14ac:dyDescent="0.2">
      <c r="A136" s="163"/>
      <c r="B136" s="164"/>
      <c r="C136" s="165" t="s">
        <v>322</v>
      </c>
      <c r="D136" s="166"/>
      <c r="E136" s="167"/>
      <c r="F136" s="168"/>
      <c r="G136" s="169"/>
      <c r="H136" s="169"/>
      <c r="I136" s="169"/>
      <c r="J136" s="169"/>
      <c r="K136" s="192"/>
      <c r="L136" s="193"/>
      <c r="M136" s="169"/>
      <c r="N136" s="169"/>
      <c r="O136" s="169"/>
      <c r="P136" s="170"/>
    </row>
    <row r="137" spans="1:16" ht="13.2" x14ac:dyDescent="0.2">
      <c r="A137" s="110">
        <v>1</v>
      </c>
      <c r="B137" s="106" t="s">
        <v>60</v>
      </c>
      <c r="C137" s="100" t="s">
        <v>304</v>
      </c>
      <c r="D137" s="106" t="s">
        <v>73</v>
      </c>
      <c r="E137" s="112">
        <v>27.74</v>
      </c>
      <c r="F137" s="120"/>
      <c r="G137" s="121"/>
      <c r="H137" s="122">
        <f t="shared" ref="H137:H138" si="104">ROUND(F137*G137,2)</f>
        <v>0</v>
      </c>
      <c r="I137" s="121"/>
      <c r="J137" s="121"/>
      <c r="K137" s="179">
        <f>ROUND(H137+J137+I137,2)</f>
        <v>0</v>
      </c>
      <c r="L137" s="184">
        <f>ROUND(E137*F137,2)</f>
        <v>0</v>
      </c>
      <c r="M137" s="121">
        <f>ROUND(E137*H137,2)</f>
        <v>0</v>
      </c>
      <c r="N137" s="121">
        <f>ROUND(E137*I137,2)</f>
        <v>0</v>
      </c>
      <c r="O137" s="121">
        <f>ROUND(E137*J137,2)</f>
        <v>0</v>
      </c>
      <c r="P137" s="123">
        <f>ROUND(O137+N137+M137,2)</f>
        <v>0</v>
      </c>
    </row>
    <row r="138" spans="1:16" ht="26.4" x14ac:dyDescent="0.2">
      <c r="A138" s="110">
        <v>2</v>
      </c>
      <c r="B138" s="106" t="s">
        <v>60</v>
      </c>
      <c r="C138" s="100" t="s">
        <v>107</v>
      </c>
      <c r="D138" s="106" t="s">
        <v>73</v>
      </c>
      <c r="E138" s="112">
        <f>E137</f>
        <v>27.74</v>
      </c>
      <c r="F138" s="120"/>
      <c r="G138" s="121"/>
      <c r="H138" s="122">
        <f t="shared" si="104"/>
        <v>0</v>
      </c>
      <c r="I138" s="121"/>
      <c r="J138" s="121"/>
      <c r="K138" s="179">
        <f>ROUND(H138+J138+I138,2)</f>
        <v>0</v>
      </c>
      <c r="L138" s="184">
        <f>ROUND(E138*F138,2)</f>
        <v>0</v>
      </c>
      <c r="M138" s="121">
        <f>ROUND(E138*H138,2)</f>
        <v>0</v>
      </c>
      <c r="N138" s="121">
        <f>ROUND(E138*I138,2)</f>
        <v>0</v>
      </c>
      <c r="O138" s="121">
        <f>ROUND(E138*J138,2)</f>
        <v>0</v>
      </c>
      <c r="P138" s="123">
        <f>ROUND(O138+N138+M138,2)</f>
        <v>0</v>
      </c>
    </row>
    <row r="139" spans="1:16" ht="13.2" x14ac:dyDescent="0.2">
      <c r="A139" s="110">
        <v>3</v>
      </c>
      <c r="B139" s="106"/>
      <c r="C139" s="99" t="s">
        <v>373</v>
      </c>
      <c r="D139" s="106" t="s">
        <v>96</v>
      </c>
      <c r="E139" s="112">
        <f>E138*0.12</f>
        <v>3.3287999999999998</v>
      </c>
      <c r="F139" s="120"/>
      <c r="G139" s="121"/>
      <c r="H139" s="122"/>
      <c r="I139" s="121"/>
      <c r="J139" s="121"/>
      <c r="K139" s="179">
        <f t="shared" ref="K139:K147" si="105">ROUND(H139+J139+I139,2)</f>
        <v>0</v>
      </c>
      <c r="L139" s="184">
        <f t="shared" ref="L139:L147" si="106">ROUND(E139*F139,2)</f>
        <v>0</v>
      </c>
      <c r="M139" s="121">
        <f t="shared" ref="M139:M147" si="107">ROUND(E139*H139,2)</f>
        <v>0</v>
      </c>
      <c r="N139" s="121">
        <f t="shared" ref="N139:N147" si="108">ROUND(E139*I139,2)</f>
        <v>0</v>
      </c>
      <c r="O139" s="121">
        <f t="shared" ref="O139:O147" si="109">ROUND(E139*J139,2)</f>
        <v>0</v>
      </c>
      <c r="P139" s="123">
        <f t="shared" ref="P139:P147" si="110">ROUND(O139+N139+M139,2)</f>
        <v>0</v>
      </c>
    </row>
    <row r="140" spans="1:16" ht="26.4" x14ac:dyDescent="0.2">
      <c r="A140" s="110">
        <v>4</v>
      </c>
      <c r="B140" s="106"/>
      <c r="C140" s="99" t="s">
        <v>391</v>
      </c>
      <c r="D140" s="106" t="s">
        <v>109</v>
      </c>
      <c r="E140" s="112">
        <f>E138*5</f>
        <v>138.69999999999999</v>
      </c>
      <c r="F140" s="120"/>
      <c r="G140" s="121"/>
      <c r="H140" s="122"/>
      <c r="I140" s="121"/>
      <c r="J140" s="121"/>
      <c r="K140" s="179">
        <f t="shared" si="105"/>
        <v>0</v>
      </c>
      <c r="L140" s="184">
        <f t="shared" si="106"/>
        <v>0</v>
      </c>
      <c r="M140" s="121">
        <f t="shared" si="107"/>
        <v>0</v>
      </c>
      <c r="N140" s="121">
        <f t="shared" si="108"/>
        <v>0</v>
      </c>
      <c r="O140" s="121">
        <f t="shared" si="109"/>
        <v>0</v>
      </c>
      <c r="P140" s="123">
        <f t="shared" si="110"/>
        <v>0</v>
      </c>
    </row>
    <row r="141" spans="1:16" ht="13.2" x14ac:dyDescent="0.2">
      <c r="A141" s="110">
        <v>5</v>
      </c>
      <c r="B141" s="106" t="s">
        <v>60</v>
      </c>
      <c r="C141" s="111" t="s">
        <v>247</v>
      </c>
      <c r="D141" s="106" t="s">
        <v>73</v>
      </c>
      <c r="E141" s="112">
        <f>E137</f>
        <v>27.74</v>
      </c>
      <c r="F141" s="120"/>
      <c r="G141" s="121"/>
      <c r="H141" s="122">
        <f>ROUND(F141*G141,2)</f>
        <v>0</v>
      </c>
      <c r="I141" s="121"/>
      <c r="J141" s="121"/>
      <c r="K141" s="179">
        <f t="shared" si="105"/>
        <v>0</v>
      </c>
      <c r="L141" s="184">
        <f t="shared" si="106"/>
        <v>0</v>
      </c>
      <c r="M141" s="121">
        <f t="shared" si="107"/>
        <v>0</v>
      </c>
      <c r="N141" s="121">
        <f t="shared" si="108"/>
        <v>0</v>
      </c>
      <c r="O141" s="121">
        <f t="shared" si="109"/>
        <v>0</v>
      </c>
      <c r="P141" s="123">
        <f t="shared" si="110"/>
        <v>0</v>
      </c>
    </row>
    <row r="142" spans="1:16" ht="13.2" x14ac:dyDescent="0.2">
      <c r="A142" s="110">
        <v>6</v>
      </c>
      <c r="B142" s="106"/>
      <c r="C142" s="99" t="s">
        <v>292</v>
      </c>
      <c r="D142" s="106" t="s">
        <v>96</v>
      </c>
      <c r="E142" s="112">
        <f>E141*0.17</f>
        <v>4.7157999999999998</v>
      </c>
      <c r="F142" s="120"/>
      <c r="G142" s="121"/>
      <c r="H142" s="122"/>
      <c r="I142" s="121"/>
      <c r="J142" s="121"/>
      <c r="K142" s="179">
        <f t="shared" si="105"/>
        <v>0</v>
      </c>
      <c r="L142" s="184">
        <f t="shared" si="106"/>
        <v>0</v>
      </c>
      <c r="M142" s="121">
        <f t="shared" si="107"/>
        <v>0</v>
      </c>
      <c r="N142" s="121">
        <f t="shared" si="108"/>
        <v>0</v>
      </c>
      <c r="O142" s="121">
        <f t="shared" si="109"/>
        <v>0</v>
      </c>
      <c r="P142" s="123">
        <f t="shared" si="110"/>
        <v>0</v>
      </c>
    </row>
    <row r="143" spans="1:16" ht="13.2" x14ac:dyDescent="0.2">
      <c r="A143" s="110">
        <v>7</v>
      </c>
      <c r="B143" s="106"/>
      <c r="C143" s="99" t="s">
        <v>293</v>
      </c>
      <c r="D143" s="106" t="s">
        <v>99</v>
      </c>
      <c r="E143" s="112">
        <f>E141*1.53*6*1.1</f>
        <v>280.11852000000005</v>
      </c>
      <c r="F143" s="120"/>
      <c r="G143" s="121"/>
      <c r="H143" s="122"/>
      <c r="I143" s="121"/>
      <c r="J143" s="121"/>
      <c r="K143" s="179">
        <f t="shared" si="105"/>
        <v>0</v>
      </c>
      <c r="L143" s="184">
        <f t="shared" si="106"/>
        <v>0</v>
      </c>
      <c r="M143" s="121">
        <f t="shared" si="107"/>
        <v>0</v>
      </c>
      <c r="N143" s="121">
        <f t="shared" si="108"/>
        <v>0</v>
      </c>
      <c r="O143" s="121">
        <f t="shared" si="109"/>
        <v>0</v>
      </c>
      <c r="P143" s="123">
        <f t="shared" si="110"/>
        <v>0</v>
      </c>
    </row>
    <row r="144" spans="1:16" ht="13.2" x14ac:dyDescent="0.2">
      <c r="A144" s="110">
        <v>8</v>
      </c>
      <c r="B144" s="106"/>
      <c r="C144" s="99" t="s">
        <v>101</v>
      </c>
      <c r="D144" s="106" t="s">
        <v>73</v>
      </c>
      <c r="E144" s="154">
        <f>E141*1.2</f>
        <v>33.287999999999997</v>
      </c>
      <c r="F144" s="120"/>
      <c r="G144" s="121"/>
      <c r="H144" s="122"/>
      <c r="I144" s="121"/>
      <c r="J144" s="121"/>
      <c r="K144" s="179">
        <f t="shared" si="105"/>
        <v>0</v>
      </c>
      <c r="L144" s="184">
        <f t="shared" si="106"/>
        <v>0</v>
      </c>
      <c r="M144" s="121">
        <f t="shared" si="107"/>
        <v>0</v>
      </c>
      <c r="N144" s="121">
        <f t="shared" si="108"/>
        <v>0</v>
      </c>
      <c r="O144" s="121">
        <f t="shared" si="109"/>
        <v>0</v>
      </c>
      <c r="P144" s="123">
        <f t="shared" si="110"/>
        <v>0</v>
      </c>
    </row>
    <row r="145" spans="1:16" ht="26.4" x14ac:dyDescent="0.2">
      <c r="A145" s="110">
        <v>9</v>
      </c>
      <c r="B145" s="106"/>
      <c r="C145" s="99" t="s">
        <v>294</v>
      </c>
      <c r="D145" s="106" t="s">
        <v>96</v>
      </c>
      <c r="E145" s="154">
        <f>E141*0.17</f>
        <v>4.7157999999999998</v>
      </c>
      <c r="F145" s="120"/>
      <c r="G145" s="121"/>
      <c r="H145" s="122"/>
      <c r="I145" s="121"/>
      <c r="J145" s="121"/>
      <c r="K145" s="179">
        <f t="shared" si="105"/>
        <v>0</v>
      </c>
      <c r="L145" s="184">
        <f t="shared" si="106"/>
        <v>0</v>
      </c>
      <c r="M145" s="121">
        <f t="shared" si="107"/>
        <v>0</v>
      </c>
      <c r="N145" s="121">
        <f t="shared" si="108"/>
        <v>0</v>
      </c>
      <c r="O145" s="121">
        <f t="shared" si="109"/>
        <v>0</v>
      </c>
      <c r="P145" s="123">
        <f t="shared" si="110"/>
        <v>0</v>
      </c>
    </row>
    <row r="146" spans="1:16" ht="26.4" x14ac:dyDescent="0.2">
      <c r="A146" s="110">
        <v>10</v>
      </c>
      <c r="B146" s="106"/>
      <c r="C146" s="99" t="s">
        <v>385</v>
      </c>
      <c r="D146" s="106" t="s">
        <v>99</v>
      </c>
      <c r="E146" s="112">
        <f>E141*3*1.1</f>
        <v>91.542000000000002</v>
      </c>
      <c r="F146" s="120"/>
      <c r="G146" s="121"/>
      <c r="H146" s="122"/>
      <c r="I146" s="121"/>
      <c r="J146" s="121"/>
      <c r="K146" s="179">
        <f t="shared" si="105"/>
        <v>0</v>
      </c>
      <c r="L146" s="184">
        <f t="shared" si="106"/>
        <v>0</v>
      </c>
      <c r="M146" s="121">
        <f t="shared" si="107"/>
        <v>0</v>
      </c>
      <c r="N146" s="121">
        <f t="shared" si="108"/>
        <v>0</v>
      </c>
      <c r="O146" s="121">
        <f t="shared" si="109"/>
        <v>0</v>
      </c>
      <c r="P146" s="123">
        <f t="shared" si="110"/>
        <v>0</v>
      </c>
    </row>
    <row r="147" spans="1:16" ht="13.2" x14ac:dyDescent="0.2">
      <c r="A147" s="110">
        <v>11</v>
      </c>
      <c r="B147" s="106"/>
      <c r="C147" s="99" t="s">
        <v>119</v>
      </c>
      <c r="D147" s="106" t="s">
        <v>73</v>
      </c>
      <c r="E147" s="112">
        <f>E141</f>
        <v>27.74</v>
      </c>
      <c r="F147" s="120"/>
      <c r="G147" s="121"/>
      <c r="H147" s="122"/>
      <c r="I147" s="121"/>
      <c r="J147" s="121"/>
      <c r="K147" s="179">
        <f t="shared" si="105"/>
        <v>0</v>
      </c>
      <c r="L147" s="184">
        <f t="shared" si="106"/>
        <v>0</v>
      </c>
      <c r="M147" s="121">
        <f t="shared" si="107"/>
        <v>0</v>
      </c>
      <c r="N147" s="121">
        <f t="shared" si="108"/>
        <v>0</v>
      </c>
      <c r="O147" s="121">
        <f t="shared" si="109"/>
        <v>0</v>
      </c>
      <c r="P147" s="123">
        <f t="shared" si="110"/>
        <v>0</v>
      </c>
    </row>
    <row r="148" spans="1:16" ht="26.4" x14ac:dyDescent="0.2">
      <c r="A148" s="163"/>
      <c r="B148" s="164"/>
      <c r="C148" s="165" t="s">
        <v>399</v>
      </c>
      <c r="D148" s="166"/>
      <c r="E148" s="167"/>
      <c r="F148" s="168"/>
      <c r="G148" s="169"/>
      <c r="H148" s="169"/>
      <c r="I148" s="169"/>
      <c r="J148" s="169"/>
      <c r="K148" s="192"/>
      <c r="L148" s="193"/>
      <c r="M148" s="169"/>
      <c r="N148" s="169"/>
      <c r="O148" s="169"/>
      <c r="P148" s="170"/>
    </row>
    <row r="149" spans="1:16" ht="13.2" x14ac:dyDescent="0.2">
      <c r="A149" s="110">
        <v>1</v>
      </c>
      <c r="B149" s="106" t="s">
        <v>60</v>
      </c>
      <c r="C149" s="100" t="s">
        <v>304</v>
      </c>
      <c r="D149" s="106" t="s">
        <v>73</v>
      </c>
      <c r="E149" s="112">
        <v>12.67</v>
      </c>
      <c r="F149" s="120"/>
      <c r="G149" s="121"/>
      <c r="H149" s="122">
        <f t="shared" ref="H149:H150" si="111">ROUND(F149*G149,2)</f>
        <v>0</v>
      </c>
      <c r="I149" s="121"/>
      <c r="J149" s="121"/>
      <c r="K149" s="179">
        <f>ROUND(H149+J149+I149,2)</f>
        <v>0</v>
      </c>
      <c r="L149" s="184">
        <f>ROUND(E149*F149,2)</f>
        <v>0</v>
      </c>
      <c r="M149" s="121">
        <f>ROUND(E149*H149,2)</f>
        <v>0</v>
      </c>
      <c r="N149" s="121">
        <f>ROUND(E149*I149,2)</f>
        <v>0</v>
      </c>
      <c r="O149" s="121">
        <f>ROUND(E149*J149,2)</f>
        <v>0</v>
      </c>
      <c r="P149" s="123">
        <f>ROUND(O149+N149+M149,2)</f>
        <v>0</v>
      </c>
    </row>
    <row r="150" spans="1:16" ht="26.4" x14ac:dyDescent="0.2">
      <c r="A150" s="110">
        <v>2</v>
      </c>
      <c r="B150" s="106" t="s">
        <v>60</v>
      </c>
      <c r="C150" s="100" t="s">
        <v>107</v>
      </c>
      <c r="D150" s="106" t="s">
        <v>73</v>
      </c>
      <c r="E150" s="112">
        <f>E149</f>
        <v>12.67</v>
      </c>
      <c r="F150" s="120"/>
      <c r="G150" s="121"/>
      <c r="H150" s="122">
        <f t="shared" si="111"/>
        <v>0</v>
      </c>
      <c r="I150" s="121"/>
      <c r="J150" s="121"/>
      <c r="K150" s="179">
        <f>ROUND(H150+J150+I150,2)</f>
        <v>0</v>
      </c>
      <c r="L150" s="184">
        <f>ROUND(E150*F150,2)</f>
        <v>0</v>
      </c>
      <c r="M150" s="121">
        <f>ROUND(E150*H150,2)</f>
        <v>0</v>
      </c>
      <c r="N150" s="121">
        <f>ROUND(E150*I150,2)</f>
        <v>0</v>
      </c>
      <c r="O150" s="121">
        <f>ROUND(E150*J150,2)</f>
        <v>0</v>
      </c>
      <c r="P150" s="123">
        <f>ROUND(O150+N150+M150,2)</f>
        <v>0</v>
      </c>
    </row>
    <row r="151" spans="1:16" ht="13.2" x14ac:dyDescent="0.2">
      <c r="A151" s="110">
        <v>3</v>
      </c>
      <c r="B151" s="106"/>
      <c r="C151" s="99" t="s">
        <v>373</v>
      </c>
      <c r="D151" s="106" t="s">
        <v>96</v>
      </c>
      <c r="E151" s="112">
        <f>E150*0.12</f>
        <v>1.5204</v>
      </c>
      <c r="F151" s="120"/>
      <c r="G151" s="121"/>
      <c r="H151" s="122"/>
      <c r="I151" s="121"/>
      <c r="J151" s="121"/>
      <c r="K151" s="179">
        <f t="shared" ref="K151:K160" si="112">ROUND(H151+J151+I151,2)</f>
        <v>0</v>
      </c>
      <c r="L151" s="184">
        <f t="shared" ref="L151:L160" si="113">ROUND(E151*F151,2)</f>
        <v>0</v>
      </c>
      <c r="M151" s="121">
        <f t="shared" ref="M151:M160" si="114">ROUND(E151*H151,2)</f>
        <v>0</v>
      </c>
      <c r="N151" s="121">
        <f t="shared" ref="N151:N160" si="115">ROUND(E151*I151,2)</f>
        <v>0</v>
      </c>
      <c r="O151" s="121">
        <f t="shared" ref="O151:O160" si="116">ROUND(E151*J151,2)</f>
        <v>0</v>
      </c>
      <c r="P151" s="123">
        <f t="shared" ref="P151:P160" si="117">ROUND(O151+N151+M151,2)</f>
        <v>0</v>
      </c>
    </row>
    <row r="152" spans="1:16" ht="26.4" x14ac:dyDescent="0.2">
      <c r="A152" s="110">
        <v>4</v>
      </c>
      <c r="B152" s="106"/>
      <c r="C152" s="99" t="s">
        <v>391</v>
      </c>
      <c r="D152" s="106" t="s">
        <v>109</v>
      </c>
      <c r="E152" s="112">
        <f>E150*5</f>
        <v>63.35</v>
      </c>
      <c r="F152" s="120"/>
      <c r="G152" s="121"/>
      <c r="H152" s="122"/>
      <c r="I152" s="121"/>
      <c r="J152" s="121"/>
      <c r="K152" s="179">
        <f t="shared" si="112"/>
        <v>0</v>
      </c>
      <c r="L152" s="184">
        <f t="shared" si="113"/>
        <v>0</v>
      </c>
      <c r="M152" s="121">
        <f t="shared" si="114"/>
        <v>0</v>
      </c>
      <c r="N152" s="121">
        <f t="shared" si="115"/>
        <v>0</v>
      </c>
      <c r="O152" s="121">
        <f t="shared" si="116"/>
        <v>0</v>
      </c>
      <c r="P152" s="123">
        <f t="shared" si="117"/>
        <v>0</v>
      </c>
    </row>
    <row r="153" spans="1:16" ht="13.2" x14ac:dyDescent="0.2">
      <c r="A153" s="110">
        <v>5</v>
      </c>
      <c r="B153" s="106" t="s">
        <v>60</v>
      </c>
      <c r="C153" s="111" t="s">
        <v>247</v>
      </c>
      <c r="D153" s="106" t="s">
        <v>73</v>
      </c>
      <c r="E153" s="112">
        <f>E149</f>
        <v>12.67</v>
      </c>
      <c r="F153" s="120"/>
      <c r="G153" s="121"/>
      <c r="H153" s="122">
        <f>ROUND(F153*G153,2)</f>
        <v>0</v>
      </c>
      <c r="I153" s="121"/>
      <c r="J153" s="121"/>
      <c r="K153" s="179">
        <f t="shared" si="112"/>
        <v>0</v>
      </c>
      <c r="L153" s="184">
        <f t="shared" si="113"/>
        <v>0</v>
      </c>
      <c r="M153" s="121">
        <f t="shared" si="114"/>
        <v>0</v>
      </c>
      <c r="N153" s="121">
        <f t="shared" si="115"/>
        <v>0</v>
      </c>
      <c r="O153" s="121">
        <f t="shared" si="116"/>
        <v>0</v>
      </c>
      <c r="P153" s="123">
        <f t="shared" si="117"/>
        <v>0</v>
      </c>
    </row>
    <row r="154" spans="1:16" ht="13.2" x14ac:dyDescent="0.2">
      <c r="A154" s="110">
        <v>6</v>
      </c>
      <c r="B154" s="106"/>
      <c r="C154" s="99" t="s">
        <v>292</v>
      </c>
      <c r="D154" s="106" t="s">
        <v>96</v>
      </c>
      <c r="E154" s="112">
        <f>E153*0.17</f>
        <v>2.1539000000000001</v>
      </c>
      <c r="F154" s="120"/>
      <c r="G154" s="121"/>
      <c r="H154" s="122"/>
      <c r="I154" s="121"/>
      <c r="J154" s="121"/>
      <c r="K154" s="179">
        <f t="shared" si="112"/>
        <v>0</v>
      </c>
      <c r="L154" s="184">
        <f t="shared" si="113"/>
        <v>0</v>
      </c>
      <c r="M154" s="121">
        <f t="shared" si="114"/>
        <v>0</v>
      </c>
      <c r="N154" s="121">
        <f t="shared" si="115"/>
        <v>0</v>
      </c>
      <c r="O154" s="121">
        <f t="shared" si="116"/>
        <v>0</v>
      </c>
      <c r="P154" s="123">
        <f t="shared" si="117"/>
        <v>0</v>
      </c>
    </row>
    <row r="155" spans="1:16" ht="26.4" x14ac:dyDescent="0.2">
      <c r="A155" s="110">
        <v>7</v>
      </c>
      <c r="B155" s="106"/>
      <c r="C155" s="99" t="s">
        <v>382</v>
      </c>
      <c r="D155" s="106" t="s">
        <v>99</v>
      </c>
      <c r="E155" s="112">
        <f>E153*1.53*6*1.1</f>
        <v>127.94166000000001</v>
      </c>
      <c r="F155" s="120"/>
      <c r="G155" s="121"/>
      <c r="H155" s="122"/>
      <c r="I155" s="121"/>
      <c r="J155" s="121"/>
      <c r="K155" s="179">
        <f t="shared" si="112"/>
        <v>0</v>
      </c>
      <c r="L155" s="184">
        <f t="shared" si="113"/>
        <v>0</v>
      </c>
      <c r="M155" s="121">
        <f t="shared" si="114"/>
        <v>0</v>
      </c>
      <c r="N155" s="121">
        <f t="shared" si="115"/>
        <v>0</v>
      </c>
      <c r="O155" s="121">
        <f t="shared" si="116"/>
        <v>0</v>
      </c>
      <c r="P155" s="123">
        <f t="shared" si="117"/>
        <v>0</v>
      </c>
    </row>
    <row r="156" spans="1:16" ht="13.2" x14ac:dyDescent="0.2">
      <c r="A156" s="110">
        <v>8</v>
      </c>
      <c r="B156" s="106"/>
      <c r="C156" s="99" t="s">
        <v>101</v>
      </c>
      <c r="D156" s="106" t="s">
        <v>73</v>
      </c>
      <c r="E156" s="154">
        <f>E153*1.2</f>
        <v>15.203999999999999</v>
      </c>
      <c r="F156" s="120"/>
      <c r="G156" s="121"/>
      <c r="H156" s="122"/>
      <c r="I156" s="121"/>
      <c r="J156" s="121"/>
      <c r="K156" s="179">
        <f t="shared" si="112"/>
        <v>0</v>
      </c>
      <c r="L156" s="184">
        <f t="shared" si="113"/>
        <v>0</v>
      </c>
      <c r="M156" s="121">
        <f t="shared" si="114"/>
        <v>0</v>
      </c>
      <c r="N156" s="121">
        <f t="shared" si="115"/>
        <v>0</v>
      </c>
      <c r="O156" s="121">
        <f t="shared" si="116"/>
        <v>0</v>
      </c>
      <c r="P156" s="123">
        <f t="shared" si="117"/>
        <v>0</v>
      </c>
    </row>
    <row r="157" spans="1:16" ht="13.2" x14ac:dyDescent="0.2">
      <c r="A157" s="110">
        <v>9</v>
      </c>
      <c r="B157" s="106"/>
      <c r="C157" s="99" t="s">
        <v>313</v>
      </c>
      <c r="D157" s="106" t="s">
        <v>62</v>
      </c>
      <c r="E157" s="112">
        <f>6.68*1.1</f>
        <v>7.3479999999999999</v>
      </c>
      <c r="F157" s="120"/>
      <c r="G157" s="121"/>
      <c r="H157" s="122"/>
      <c r="I157" s="121"/>
      <c r="J157" s="121"/>
      <c r="K157" s="179">
        <f t="shared" si="112"/>
        <v>0</v>
      </c>
      <c r="L157" s="184">
        <f t="shared" si="113"/>
        <v>0</v>
      </c>
      <c r="M157" s="121">
        <f t="shared" si="114"/>
        <v>0</v>
      </c>
      <c r="N157" s="121">
        <f t="shared" si="115"/>
        <v>0</v>
      </c>
      <c r="O157" s="121">
        <f t="shared" si="116"/>
        <v>0</v>
      </c>
      <c r="P157" s="123">
        <f t="shared" si="117"/>
        <v>0</v>
      </c>
    </row>
    <row r="158" spans="1:16" ht="26.4" x14ac:dyDescent="0.2">
      <c r="A158" s="110">
        <v>10</v>
      </c>
      <c r="B158" s="106"/>
      <c r="C158" s="99" t="s">
        <v>383</v>
      </c>
      <c r="D158" s="106" t="s">
        <v>96</v>
      </c>
      <c r="E158" s="154">
        <f>E153*0.17</f>
        <v>2.1539000000000001</v>
      </c>
      <c r="F158" s="120"/>
      <c r="G158" s="121"/>
      <c r="H158" s="122"/>
      <c r="I158" s="121"/>
      <c r="J158" s="121"/>
      <c r="K158" s="179">
        <f t="shared" si="112"/>
        <v>0</v>
      </c>
      <c r="L158" s="184">
        <f t="shared" si="113"/>
        <v>0</v>
      </c>
      <c r="M158" s="121">
        <f t="shared" si="114"/>
        <v>0</v>
      </c>
      <c r="N158" s="121">
        <f t="shared" si="115"/>
        <v>0</v>
      </c>
      <c r="O158" s="121">
        <f t="shared" si="116"/>
        <v>0</v>
      </c>
      <c r="P158" s="123">
        <f t="shared" si="117"/>
        <v>0</v>
      </c>
    </row>
    <row r="159" spans="1:16" ht="26.4" x14ac:dyDescent="0.2">
      <c r="A159" s="110">
        <v>11</v>
      </c>
      <c r="B159" s="106"/>
      <c r="C159" s="99" t="s">
        <v>385</v>
      </c>
      <c r="D159" s="106" t="s">
        <v>99</v>
      </c>
      <c r="E159" s="112">
        <f>E153*3*1.1</f>
        <v>41.811</v>
      </c>
      <c r="F159" s="120"/>
      <c r="G159" s="121"/>
      <c r="H159" s="122"/>
      <c r="I159" s="121"/>
      <c r="J159" s="121"/>
      <c r="K159" s="179">
        <f t="shared" si="112"/>
        <v>0</v>
      </c>
      <c r="L159" s="184">
        <f t="shared" si="113"/>
        <v>0</v>
      </c>
      <c r="M159" s="121">
        <f t="shared" si="114"/>
        <v>0</v>
      </c>
      <c r="N159" s="121">
        <f t="shared" si="115"/>
        <v>0</v>
      </c>
      <c r="O159" s="121">
        <f t="shared" si="116"/>
        <v>0</v>
      </c>
      <c r="P159" s="123">
        <f t="shared" si="117"/>
        <v>0</v>
      </c>
    </row>
    <row r="160" spans="1:16" ht="13.2" x14ac:dyDescent="0.2">
      <c r="A160" s="110">
        <v>12</v>
      </c>
      <c r="B160" s="106"/>
      <c r="C160" s="99" t="s">
        <v>119</v>
      </c>
      <c r="D160" s="106" t="s">
        <v>73</v>
      </c>
      <c r="E160" s="112">
        <f>E153</f>
        <v>12.67</v>
      </c>
      <c r="F160" s="120"/>
      <c r="G160" s="121"/>
      <c r="H160" s="122"/>
      <c r="I160" s="121"/>
      <c r="J160" s="121"/>
      <c r="K160" s="179">
        <f t="shared" si="112"/>
        <v>0</v>
      </c>
      <c r="L160" s="184">
        <f t="shared" si="113"/>
        <v>0</v>
      </c>
      <c r="M160" s="121">
        <f t="shared" si="114"/>
        <v>0</v>
      </c>
      <c r="N160" s="121">
        <f t="shared" si="115"/>
        <v>0</v>
      </c>
      <c r="O160" s="121">
        <f t="shared" si="116"/>
        <v>0</v>
      </c>
      <c r="P160" s="123">
        <f t="shared" si="117"/>
        <v>0</v>
      </c>
    </row>
    <row r="161" spans="1:16" ht="26.4" x14ac:dyDescent="0.2">
      <c r="A161" s="163"/>
      <c r="B161" s="164"/>
      <c r="C161" s="165" t="s">
        <v>398</v>
      </c>
      <c r="D161" s="166"/>
      <c r="E161" s="167"/>
      <c r="F161" s="168"/>
      <c r="G161" s="169"/>
      <c r="H161" s="169"/>
      <c r="I161" s="169"/>
      <c r="J161" s="169"/>
      <c r="K161" s="192"/>
      <c r="L161" s="193"/>
      <c r="M161" s="169"/>
      <c r="N161" s="169"/>
      <c r="O161" s="169"/>
      <c r="P161" s="170"/>
    </row>
    <row r="162" spans="1:16" ht="52.8" x14ac:dyDescent="0.2">
      <c r="A162" s="110">
        <v>1</v>
      </c>
      <c r="B162" s="106" t="s">
        <v>60</v>
      </c>
      <c r="C162" s="111" t="s">
        <v>386</v>
      </c>
      <c r="D162" s="106" t="s">
        <v>73</v>
      </c>
      <c r="E162" s="112">
        <f>1.04/0.2</f>
        <v>5.2</v>
      </c>
      <c r="F162" s="120"/>
      <c r="G162" s="121"/>
      <c r="H162" s="122">
        <f>ROUND(F162*G162,2)</f>
        <v>0</v>
      </c>
      <c r="I162" s="121"/>
      <c r="J162" s="121"/>
      <c r="K162" s="179">
        <f t="shared" ref="K162:K173" si="118">ROUND(H162+J162+I162,2)</f>
        <v>0</v>
      </c>
      <c r="L162" s="184">
        <f t="shared" ref="L162:L173" si="119">ROUND(E162*F162,2)</f>
        <v>0</v>
      </c>
      <c r="M162" s="121">
        <f t="shared" ref="M162:M173" si="120">ROUND(E162*H162,2)</f>
        <v>0</v>
      </c>
      <c r="N162" s="121">
        <f t="shared" ref="N162:N173" si="121">ROUND(E162*I162,2)</f>
        <v>0</v>
      </c>
      <c r="O162" s="121">
        <f t="shared" ref="O162:O173" si="122">ROUND(E162*J162,2)</f>
        <v>0</v>
      </c>
      <c r="P162" s="123">
        <f t="shared" ref="P162:P173" si="123">ROUND(O162+N162+M162,2)</f>
        <v>0</v>
      </c>
    </row>
    <row r="163" spans="1:16" ht="13.2" x14ac:dyDescent="0.2">
      <c r="A163" s="110">
        <v>2</v>
      </c>
      <c r="B163" s="106"/>
      <c r="C163" s="99" t="s">
        <v>388</v>
      </c>
      <c r="D163" s="106" t="s">
        <v>73</v>
      </c>
      <c r="E163" s="112">
        <f>E162*0.2*1.15/1.2</f>
        <v>0.9966666666666667</v>
      </c>
      <c r="F163" s="120"/>
      <c r="G163" s="121"/>
      <c r="H163" s="122"/>
      <c r="I163" s="121"/>
      <c r="J163" s="121"/>
      <c r="K163" s="179">
        <f t="shared" si="118"/>
        <v>0</v>
      </c>
      <c r="L163" s="184">
        <f t="shared" si="119"/>
        <v>0</v>
      </c>
      <c r="M163" s="121">
        <f t="shared" si="120"/>
        <v>0</v>
      </c>
      <c r="N163" s="121">
        <f t="shared" si="121"/>
        <v>0</v>
      </c>
      <c r="O163" s="121">
        <f t="shared" si="122"/>
        <v>0</v>
      </c>
      <c r="P163" s="123">
        <f t="shared" si="123"/>
        <v>0</v>
      </c>
    </row>
    <row r="164" spans="1:16" ht="26.4" x14ac:dyDescent="0.2">
      <c r="A164" s="110">
        <v>3</v>
      </c>
      <c r="B164" s="106"/>
      <c r="C164" s="99" t="s">
        <v>390</v>
      </c>
      <c r="D164" s="106" t="s">
        <v>89</v>
      </c>
      <c r="E164" s="112">
        <f>E162*1.05*0.2</f>
        <v>1.0920000000000003</v>
      </c>
      <c r="F164" s="120"/>
      <c r="G164" s="121"/>
      <c r="H164" s="122"/>
      <c r="I164" s="121"/>
      <c r="J164" s="121"/>
      <c r="K164" s="179">
        <f t="shared" si="118"/>
        <v>0</v>
      </c>
      <c r="L164" s="184">
        <f t="shared" si="119"/>
        <v>0</v>
      </c>
      <c r="M164" s="121">
        <f t="shared" si="120"/>
        <v>0</v>
      </c>
      <c r="N164" s="121">
        <f t="shared" si="121"/>
        <v>0</v>
      </c>
      <c r="O164" s="121">
        <f t="shared" si="122"/>
        <v>0</v>
      </c>
      <c r="P164" s="123">
        <f t="shared" si="123"/>
        <v>0</v>
      </c>
    </row>
    <row r="165" spans="1:16" ht="13.2" x14ac:dyDescent="0.2">
      <c r="A165" s="110">
        <v>4</v>
      </c>
      <c r="B165" s="106"/>
      <c r="C165" s="99" t="s">
        <v>389</v>
      </c>
      <c r="D165" s="106" t="s">
        <v>62</v>
      </c>
      <c r="E165" s="112">
        <f>54*1.1</f>
        <v>59.400000000000006</v>
      </c>
      <c r="F165" s="120"/>
      <c r="G165" s="121"/>
      <c r="H165" s="122"/>
      <c r="I165" s="121"/>
      <c r="J165" s="121"/>
      <c r="K165" s="179">
        <f t="shared" si="118"/>
        <v>0</v>
      </c>
      <c r="L165" s="184">
        <f t="shared" si="119"/>
        <v>0</v>
      </c>
      <c r="M165" s="121">
        <f t="shared" si="120"/>
        <v>0</v>
      </c>
      <c r="N165" s="121">
        <f t="shared" si="121"/>
        <v>0</v>
      </c>
      <c r="O165" s="121">
        <f t="shared" si="122"/>
        <v>0</v>
      </c>
      <c r="P165" s="123">
        <f t="shared" si="123"/>
        <v>0</v>
      </c>
    </row>
    <row r="166" spans="1:16" ht="13.2" x14ac:dyDescent="0.2">
      <c r="A166" s="110">
        <v>5</v>
      </c>
      <c r="B166" s="106"/>
      <c r="C166" s="99" t="s">
        <v>394</v>
      </c>
      <c r="D166" s="106" t="s">
        <v>99</v>
      </c>
      <c r="E166" s="112">
        <f>E162*10*2.5*1.1</f>
        <v>143</v>
      </c>
      <c r="F166" s="120"/>
      <c r="G166" s="121"/>
      <c r="H166" s="122"/>
      <c r="I166" s="121"/>
      <c r="J166" s="121"/>
      <c r="K166" s="179">
        <f t="shared" si="118"/>
        <v>0</v>
      </c>
      <c r="L166" s="184">
        <f t="shared" si="119"/>
        <v>0</v>
      </c>
      <c r="M166" s="121">
        <f t="shared" si="120"/>
        <v>0</v>
      </c>
      <c r="N166" s="121">
        <f t="shared" si="121"/>
        <v>0</v>
      </c>
      <c r="O166" s="121">
        <f t="shared" si="122"/>
        <v>0</v>
      </c>
      <c r="P166" s="123">
        <f t="shared" si="123"/>
        <v>0</v>
      </c>
    </row>
    <row r="167" spans="1:16" ht="13.2" x14ac:dyDescent="0.2">
      <c r="A167" s="110">
        <v>6</v>
      </c>
      <c r="B167" s="106"/>
      <c r="C167" s="99" t="s">
        <v>258</v>
      </c>
      <c r="D167" s="106" t="s">
        <v>259</v>
      </c>
      <c r="E167" s="112">
        <v>16</v>
      </c>
      <c r="F167" s="120"/>
      <c r="G167" s="121"/>
      <c r="H167" s="122"/>
      <c r="I167" s="121"/>
      <c r="J167" s="121"/>
      <c r="K167" s="179">
        <f t="shared" si="118"/>
        <v>0</v>
      </c>
      <c r="L167" s="184">
        <f t="shared" si="119"/>
        <v>0</v>
      </c>
      <c r="M167" s="121">
        <f t="shared" si="120"/>
        <v>0</v>
      </c>
      <c r="N167" s="121">
        <f t="shared" si="121"/>
        <v>0</v>
      </c>
      <c r="O167" s="121">
        <f t="shared" si="122"/>
        <v>0</v>
      </c>
      <c r="P167" s="123">
        <f t="shared" si="123"/>
        <v>0</v>
      </c>
    </row>
    <row r="168" spans="1:16" ht="13.2" x14ac:dyDescent="0.2">
      <c r="A168" s="110">
        <v>7</v>
      </c>
      <c r="B168" s="106"/>
      <c r="C168" s="99" t="s">
        <v>119</v>
      </c>
      <c r="D168" s="106" t="s">
        <v>68</v>
      </c>
      <c r="E168" s="112">
        <f>E162</f>
        <v>5.2</v>
      </c>
      <c r="F168" s="120"/>
      <c r="G168" s="121"/>
      <c r="H168" s="122"/>
      <c r="I168" s="121"/>
      <c r="J168" s="121"/>
      <c r="K168" s="179">
        <f t="shared" si="118"/>
        <v>0</v>
      </c>
      <c r="L168" s="184">
        <f t="shared" si="119"/>
        <v>0</v>
      </c>
      <c r="M168" s="121">
        <f t="shared" si="120"/>
        <v>0</v>
      </c>
      <c r="N168" s="121">
        <f t="shared" si="121"/>
        <v>0</v>
      </c>
      <c r="O168" s="121">
        <f t="shared" si="122"/>
        <v>0</v>
      </c>
      <c r="P168" s="123">
        <f t="shared" si="123"/>
        <v>0</v>
      </c>
    </row>
    <row r="169" spans="1:16" ht="13.2" x14ac:dyDescent="0.2">
      <c r="A169" s="110">
        <v>8</v>
      </c>
      <c r="B169" s="106" t="s">
        <v>60</v>
      </c>
      <c r="C169" s="111" t="s">
        <v>323</v>
      </c>
      <c r="D169" s="106" t="s">
        <v>73</v>
      </c>
      <c r="E169" s="112">
        <v>8.77</v>
      </c>
      <c r="F169" s="120"/>
      <c r="G169" s="121"/>
      <c r="H169" s="122">
        <f>ROUND(F169*G169,2)</f>
        <v>0</v>
      </c>
      <c r="I169" s="121"/>
      <c r="J169" s="121"/>
      <c r="K169" s="179">
        <f t="shared" si="118"/>
        <v>0</v>
      </c>
      <c r="L169" s="184">
        <f t="shared" si="119"/>
        <v>0</v>
      </c>
      <c r="M169" s="121">
        <f t="shared" si="120"/>
        <v>0</v>
      </c>
      <c r="N169" s="121">
        <f t="shared" si="121"/>
        <v>0</v>
      </c>
      <c r="O169" s="121">
        <f t="shared" si="122"/>
        <v>0</v>
      </c>
      <c r="P169" s="123">
        <f t="shared" si="123"/>
        <v>0</v>
      </c>
    </row>
    <row r="170" spans="1:16" ht="13.2" x14ac:dyDescent="0.2">
      <c r="A170" s="110">
        <v>9</v>
      </c>
      <c r="B170" s="106"/>
      <c r="C170" s="99" t="s">
        <v>98</v>
      </c>
      <c r="D170" s="106" t="s">
        <v>96</v>
      </c>
      <c r="E170" s="112">
        <f>E169*0.12</f>
        <v>1.0524</v>
      </c>
      <c r="F170" s="120"/>
      <c r="G170" s="121"/>
      <c r="H170" s="122"/>
      <c r="I170" s="121"/>
      <c r="J170" s="121"/>
      <c r="K170" s="179">
        <f t="shared" si="118"/>
        <v>0</v>
      </c>
      <c r="L170" s="184">
        <f t="shared" si="119"/>
        <v>0</v>
      </c>
      <c r="M170" s="121">
        <f t="shared" si="120"/>
        <v>0</v>
      </c>
      <c r="N170" s="121">
        <f t="shared" si="121"/>
        <v>0</v>
      </c>
      <c r="O170" s="121">
        <f t="shared" si="122"/>
        <v>0</v>
      </c>
      <c r="P170" s="123">
        <f t="shared" si="123"/>
        <v>0</v>
      </c>
    </row>
    <row r="171" spans="1:16" ht="26.4" x14ac:dyDescent="0.2">
      <c r="A171" s="110">
        <v>10</v>
      </c>
      <c r="B171" s="106"/>
      <c r="C171" s="99" t="s">
        <v>392</v>
      </c>
      <c r="D171" s="106" t="s">
        <v>109</v>
      </c>
      <c r="E171" s="152">
        <f>E169*5</f>
        <v>43.849999999999994</v>
      </c>
      <c r="F171" s="120"/>
      <c r="G171" s="121"/>
      <c r="H171" s="122"/>
      <c r="I171" s="121"/>
      <c r="J171" s="121"/>
      <c r="K171" s="179">
        <f t="shared" si="118"/>
        <v>0</v>
      </c>
      <c r="L171" s="184">
        <f t="shared" si="119"/>
        <v>0</v>
      </c>
      <c r="M171" s="121">
        <f t="shared" si="120"/>
        <v>0</v>
      </c>
      <c r="N171" s="121">
        <f t="shared" si="121"/>
        <v>0</v>
      </c>
      <c r="O171" s="121">
        <f t="shared" si="122"/>
        <v>0</v>
      </c>
      <c r="P171" s="123">
        <f t="shared" si="123"/>
        <v>0</v>
      </c>
    </row>
    <row r="172" spans="1:16" ht="13.2" x14ac:dyDescent="0.2">
      <c r="A172" s="110">
        <v>11</v>
      </c>
      <c r="B172" s="106"/>
      <c r="C172" s="99" t="s">
        <v>101</v>
      </c>
      <c r="D172" s="106" t="s">
        <v>73</v>
      </c>
      <c r="E172" s="112">
        <f>E169*1.2</f>
        <v>10.523999999999999</v>
      </c>
      <c r="F172" s="120"/>
      <c r="G172" s="121"/>
      <c r="H172" s="122"/>
      <c r="I172" s="121"/>
      <c r="J172" s="121"/>
      <c r="K172" s="179">
        <f t="shared" si="118"/>
        <v>0</v>
      </c>
      <c r="L172" s="184">
        <f t="shared" si="119"/>
        <v>0</v>
      </c>
      <c r="M172" s="121">
        <f t="shared" si="120"/>
        <v>0</v>
      </c>
      <c r="N172" s="121">
        <f t="shared" si="121"/>
        <v>0</v>
      </c>
      <c r="O172" s="121">
        <f t="shared" si="122"/>
        <v>0</v>
      </c>
      <c r="P172" s="123">
        <f t="shared" si="123"/>
        <v>0</v>
      </c>
    </row>
    <row r="173" spans="1:16" ht="13.2" x14ac:dyDescent="0.2">
      <c r="A173" s="110">
        <v>12</v>
      </c>
      <c r="B173" s="106"/>
      <c r="C173" s="99" t="s">
        <v>393</v>
      </c>
      <c r="D173" s="106" t="s">
        <v>62</v>
      </c>
      <c r="E173" s="112">
        <f>8.4*1.1</f>
        <v>9.240000000000002</v>
      </c>
      <c r="F173" s="120"/>
      <c r="G173" s="121"/>
      <c r="H173" s="122"/>
      <c r="I173" s="121"/>
      <c r="J173" s="121"/>
      <c r="K173" s="179">
        <f t="shared" si="118"/>
        <v>0</v>
      </c>
      <c r="L173" s="184">
        <f t="shared" si="119"/>
        <v>0</v>
      </c>
      <c r="M173" s="121">
        <f t="shared" si="120"/>
        <v>0</v>
      </c>
      <c r="N173" s="121">
        <f t="shared" si="121"/>
        <v>0</v>
      </c>
      <c r="O173" s="121">
        <f t="shared" si="122"/>
        <v>0</v>
      </c>
      <c r="P173" s="123">
        <f t="shared" si="123"/>
        <v>0</v>
      </c>
    </row>
    <row r="174" spans="1:16" ht="26.4" x14ac:dyDescent="0.2">
      <c r="A174" s="163"/>
      <c r="B174" s="164"/>
      <c r="C174" s="165" t="s">
        <v>397</v>
      </c>
      <c r="D174" s="166"/>
      <c r="E174" s="167"/>
      <c r="F174" s="168"/>
      <c r="G174" s="169"/>
      <c r="H174" s="169"/>
      <c r="I174" s="169"/>
      <c r="J174" s="169"/>
      <c r="K174" s="192"/>
      <c r="L174" s="193"/>
      <c r="M174" s="169"/>
      <c r="N174" s="169"/>
      <c r="O174" s="169"/>
      <c r="P174" s="170"/>
    </row>
    <row r="175" spans="1:16" ht="52.8" x14ac:dyDescent="0.2">
      <c r="A175" s="110">
        <v>1</v>
      </c>
      <c r="B175" s="106" t="s">
        <v>60</v>
      </c>
      <c r="C175" s="111" t="s">
        <v>386</v>
      </c>
      <c r="D175" s="106" t="s">
        <v>73</v>
      </c>
      <c r="E175" s="112">
        <f>0.52/0.2</f>
        <v>2.6</v>
      </c>
      <c r="F175" s="120"/>
      <c r="G175" s="121"/>
      <c r="H175" s="122">
        <f>ROUND(F175*G175,2)</f>
        <v>0</v>
      </c>
      <c r="I175" s="121"/>
      <c r="J175" s="121"/>
      <c r="K175" s="179">
        <f t="shared" ref="K175:K186" si="124">ROUND(H175+J175+I175,2)</f>
        <v>0</v>
      </c>
      <c r="L175" s="184">
        <f t="shared" ref="L175:L186" si="125">ROUND(E175*F175,2)</f>
        <v>0</v>
      </c>
      <c r="M175" s="121">
        <f t="shared" ref="M175:M186" si="126">ROUND(E175*H175,2)</f>
        <v>0</v>
      </c>
      <c r="N175" s="121">
        <f t="shared" ref="N175:N186" si="127">ROUND(E175*I175,2)</f>
        <v>0</v>
      </c>
      <c r="O175" s="121">
        <f t="shared" ref="O175:O186" si="128">ROUND(E175*J175,2)</f>
        <v>0</v>
      </c>
      <c r="P175" s="123">
        <f t="shared" ref="P175:P186" si="129">ROUND(O175+N175+M175,2)</f>
        <v>0</v>
      </c>
    </row>
    <row r="176" spans="1:16" ht="13.2" x14ac:dyDescent="0.2">
      <c r="A176" s="110">
        <v>2</v>
      </c>
      <c r="B176" s="106"/>
      <c r="C176" s="99" t="s">
        <v>388</v>
      </c>
      <c r="D176" s="106" t="s">
        <v>73</v>
      </c>
      <c r="E176" s="112">
        <f>E175*0.2*1.15/1.2</f>
        <v>0.49833333333333335</v>
      </c>
      <c r="F176" s="120"/>
      <c r="G176" s="121"/>
      <c r="H176" s="122"/>
      <c r="I176" s="121"/>
      <c r="J176" s="121"/>
      <c r="K176" s="179">
        <f t="shared" si="124"/>
        <v>0</v>
      </c>
      <c r="L176" s="184">
        <f t="shared" si="125"/>
        <v>0</v>
      </c>
      <c r="M176" s="121">
        <f t="shared" si="126"/>
        <v>0</v>
      </c>
      <c r="N176" s="121">
        <f t="shared" si="127"/>
        <v>0</v>
      </c>
      <c r="O176" s="121">
        <f t="shared" si="128"/>
        <v>0</v>
      </c>
      <c r="P176" s="123">
        <f t="shared" si="129"/>
        <v>0</v>
      </c>
    </row>
    <row r="177" spans="1:16" ht="26.4" x14ac:dyDescent="0.2">
      <c r="A177" s="110">
        <v>3</v>
      </c>
      <c r="B177" s="106"/>
      <c r="C177" s="99" t="s">
        <v>390</v>
      </c>
      <c r="D177" s="106" t="s">
        <v>89</v>
      </c>
      <c r="E177" s="112">
        <f>E175*1.05*0.2</f>
        <v>0.54600000000000015</v>
      </c>
      <c r="F177" s="120"/>
      <c r="G177" s="121"/>
      <c r="H177" s="122"/>
      <c r="I177" s="121"/>
      <c r="J177" s="121"/>
      <c r="K177" s="179">
        <f t="shared" si="124"/>
        <v>0</v>
      </c>
      <c r="L177" s="184">
        <f t="shared" si="125"/>
        <v>0</v>
      </c>
      <c r="M177" s="121">
        <f t="shared" si="126"/>
        <v>0</v>
      </c>
      <c r="N177" s="121">
        <f t="shared" si="127"/>
        <v>0</v>
      </c>
      <c r="O177" s="121">
        <f t="shared" si="128"/>
        <v>0</v>
      </c>
      <c r="P177" s="123">
        <f t="shared" si="129"/>
        <v>0</v>
      </c>
    </row>
    <row r="178" spans="1:16" ht="13.2" x14ac:dyDescent="0.2">
      <c r="A178" s="110">
        <v>4</v>
      </c>
      <c r="B178" s="106"/>
      <c r="C178" s="99" t="s">
        <v>389</v>
      </c>
      <c r="D178" s="106" t="s">
        <v>62</v>
      </c>
      <c r="E178" s="112">
        <f>26*1.1</f>
        <v>28.6</v>
      </c>
      <c r="F178" s="120"/>
      <c r="G178" s="121"/>
      <c r="H178" s="122"/>
      <c r="I178" s="121"/>
      <c r="J178" s="121"/>
      <c r="K178" s="179">
        <f t="shared" si="124"/>
        <v>0</v>
      </c>
      <c r="L178" s="184">
        <f t="shared" si="125"/>
        <v>0</v>
      </c>
      <c r="M178" s="121">
        <f t="shared" si="126"/>
        <v>0</v>
      </c>
      <c r="N178" s="121">
        <f t="shared" si="127"/>
        <v>0</v>
      </c>
      <c r="O178" s="121">
        <f t="shared" si="128"/>
        <v>0</v>
      </c>
      <c r="P178" s="123">
        <f t="shared" si="129"/>
        <v>0</v>
      </c>
    </row>
    <row r="179" spans="1:16" ht="13.2" x14ac:dyDescent="0.2">
      <c r="A179" s="110">
        <v>5</v>
      </c>
      <c r="B179" s="106"/>
      <c r="C179" s="99" t="s">
        <v>394</v>
      </c>
      <c r="D179" s="106" t="s">
        <v>99</v>
      </c>
      <c r="E179" s="112">
        <f>E175*10*2.5*1.1</f>
        <v>71.5</v>
      </c>
      <c r="F179" s="120"/>
      <c r="G179" s="121"/>
      <c r="H179" s="122"/>
      <c r="I179" s="121"/>
      <c r="J179" s="121"/>
      <c r="K179" s="179">
        <f t="shared" si="124"/>
        <v>0</v>
      </c>
      <c r="L179" s="184">
        <f t="shared" si="125"/>
        <v>0</v>
      </c>
      <c r="M179" s="121">
        <f t="shared" si="126"/>
        <v>0</v>
      </c>
      <c r="N179" s="121">
        <f t="shared" si="127"/>
        <v>0</v>
      </c>
      <c r="O179" s="121">
        <f t="shared" si="128"/>
        <v>0</v>
      </c>
      <c r="P179" s="123">
        <f t="shared" si="129"/>
        <v>0</v>
      </c>
    </row>
    <row r="180" spans="1:16" ht="13.2" x14ac:dyDescent="0.2">
      <c r="A180" s="110">
        <v>6</v>
      </c>
      <c r="B180" s="106"/>
      <c r="C180" s="99" t="s">
        <v>258</v>
      </c>
      <c r="D180" s="106" t="s">
        <v>259</v>
      </c>
      <c r="E180" s="112">
        <v>12</v>
      </c>
      <c r="F180" s="120"/>
      <c r="G180" s="121"/>
      <c r="H180" s="122"/>
      <c r="I180" s="121"/>
      <c r="J180" s="121"/>
      <c r="K180" s="179">
        <f t="shared" si="124"/>
        <v>0</v>
      </c>
      <c r="L180" s="184">
        <f t="shared" si="125"/>
        <v>0</v>
      </c>
      <c r="M180" s="121">
        <f t="shared" si="126"/>
        <v>0</v>
      </c>
      <c r="N180" s="121">
        <f t="shared" si="127"/>
        <v>0</v>
      </c>
      <c r="O180" s="121">
        <f t="shared" si="128"/>
        <v>0</v>
      </c>
      <c r="P180" s="123">
        <f t="shared" si="129"/>
        <v>0</v>
      </c>
    </row>
    <row r="181" spans="1:16" ht="13.2" x14ac:dyDescent="0.2">
      <c r="A181" s="110">
        <v>7</v>
      </c>
      <c r="B181" s="106"/>
      <c r="C181" s="99" t="s">
        <v>119</v>
      </c>
      <c r="D181" s="106" t="s">
        <v>68</v>
      </c>
      <c r="E181" s="112">
        <f>E175</f>
        <v>2.6</v>
      </c>
      <c r="F181" s="120"/>
      <c r="G181" s="121"/>
      <c r="H181" s="122"/>
      <c r="I181" s="121"/>
      <c r="J181" s="121"/>
      <c r="K181" s="179">
        <f t="shared" si="124"/>
        <v>0</v>
      </c>
      <c r="L181" s="184">
        <f t="shared" si="125"/>
        <v>0</v>
      </c>
      <c r="M181" s="121">
        <f t="shared" si="126"/>
        <v>0</v>
      </c>
      <c r="N181" s="121">
        <f t="shared" si="127"/>
        <v>0</v>
      </c>
      <c r="O181" s="121">
        <f t="shared" si="128"/>
        <v>0</v>
      </c>
      <c r="P181" s="123">
        <f t="shared" si="129"/>
        <v>0</v>
      </c>
    </row>
    <row r="182" spans="1:16" ht="13.2" x14ac:dyDescent="0.2">
      <c r="A182" s="110">
        <v>8</v>
      </c>
      <c r="B182" s="106" t="s">
        <v>60</v>
      </c>
      <c r="C182" s="111" t="s">
        <v>323</v>
      </c>
      <c r="D182" s="106" t="s">
        <v>73</v>
      </c>
      <c r="E182" s="112">
        <v>5.88</v>
      </c>
      <c r="F182" s="120"/>
      <c r="G182" s="121"/>
      <c r="H182" s="122">
        <f>ROUND(F182*G182,2)</f>
        <v>0</v>
      </c>
      <c r="I182" s="121"/>
      <c r="J182" s="121"/>
      <c r="K182" s="179">
        <f t="shared" si="124"/>
        <v>0</v>
      </c>
      <c r="L182" s="184">
        <f t="shared" si="125"/>
        <v>0</v>
      </c>
      <c r="M182" s="121">
        <f t="shared" si="126"/>
        <v>0</v>
      </c>
      <c r="N182" s="121">
        <f t="shared" si="127"/>
        <v>0</v>
      </c>
      <c r="O182" s="121">
        <f t="shared" si="128"/>
        <v>0</v>
      </c>
      <c r="P182" s="123">
        <f t="shared" si="129"/>
        <v>0</v>
      </c>
    </row>
    <row r="183" spans="1:16" ht="13.2" x14ac:dyDescent="0.2">
      <c r="A183" s="110">
        <v>9</v>
      </c>
      <c r="B183" s="106"/>
      <c r="C183" s="99" t="s">
        <v>98</v>
      </c>
      <c r="D183" s="106" t="s">
        <v>96</v>
      </c>
      <c r="E183" s="112">
        <f>E182*0.12</f>
        <v>0.7056</v>
      </c>
      <c r="F183" s="120"/>
      <c r="G183" s="121"/>
      <c r="H183" s="122"/>
      <c r="I183" s="121"/>
      <c r="J183" s="121"/>
      <c r="K183" s="179">
        <f t="shared" si="124"/>
        <v>0</v>
      </c>
      <c r="L183" s="184">
        <f t="shared" si="125"/>
        <v>0</v>
      </c>
      <c r="M183" s="121">
        <f t="shared" si="126"/>
        <v>0</v>
      </c>
      <c r="N183" s="121">
        <f t="shared" si="127"/>
        <v>0</v>
      </c>
      <c r="O183" s="121">
        <f t="shared" si="128"/>
        <v>0</v>
      </c>
      <c r="P183" s="123">
        <f t="shared" si="129"/>
        <v>0</v>
      </c>
    </row>
    <row r="184" spans="1:16" ht="26.4" x14ac:dyDescent="0.2">
      <c r="A184" s="110">
        <v>10</v>
      </c>
      <c r="B184" s="106"/>
      <c r="C184" s="99" t="s">
        <v>392</v>
      </c>
      <c r="D184" s="106" t="s">
        <v>109</v>
      </c>
      <c r="E184" s="152">
        <f>E182*5</f>
        <v>29.4</v>
      </c>
      <c r="F184" s="120"/>
      <c r="G184" s="121"/>
      <c r="H184" s="122"/>
      <c r="I184" s="121"/>
      <c r="J184" s="121"/>
      <c r="K184" s="179">
        <f t="shared" si="124"/>
        <v>0</v>
      </c>
      <c r="L184" s="184">
        <f t="shared" si="125"/>
        <v>0</v>
      </c>
      <c r="M184" s="121">
        <f t="shared" si="126"/>
        <v>0</v>
      </c>
      <c r="N184" s="121">
        <f t="shared" si="127"/>
        <v>0</v>
      </c>
      <c r="O184" s="121">
        <f t="shared" si="128"/>
        <v>0</v>
      </c>
      <c r="P184" s="123">
        <f t="shared" si="129"/>
        <v>0</v>
      </c>
    </row>
    <row r="185" spans="1:16" ht="13.2" x14ac:dyDescent="0.2">
      <c r="A185" s="110">
        <v>11</v>
      </c>
      <c r="B185" s="106"/>
      <c r="C185" s="99" t="s">
        <v>101</v>
      </c>
      <c r="D185" s="106" t="s">
        <v>73</v>
      </c>
      <c r="E185" s="112">
        <f>E182*1.2</f>
        <v>7.056</v>
      </c>
      <c r="F185" s="120"/>
      <c r="G185" s="121"/>
      <c r="H185" s="122"/>
      <c r="I185" s="121"/>
      <c r="J185" s="121"/>
      <c r="K185" s="179">
        <f t="shared" si="124"/>
        <v>0</v>
      </c>
      <c r="L185" s="184">
        <f t="shared" si="125"/>
        <v>0</v>
      </c>
      <c r="M185" s="121">
        <f t="shared" si="126"/>
        <v>0</v>
      </c>
      <c r="N185" s="121">
        <f t="shared" si="127"/>
        <v>0</v>
      </c>
      <c r="O185" s="121">
        <f t="shared" si="128"/>
        <v>0</v>
      </c>
      <c r="P185" s="123">
        <f t="shared" si="129"/>
        <v>0</v>
      </c>
    </row>
    <row r="186" spans="1:16" ht="13.2" x14ac:dyDescent="0.2">
      <c r="A186" s="110">
        <v>12</v>
      </c>
      <c r="B186" s="106"/>
      <c r="C186" s="99" t="s">
        <v>393</v>
      </c>
      <c r="D186" s="106" t="s">
        <v>62</v>
      </c>
      <c r="E186" s="112">
        <f>4.2*1.1</f>
        <v>4.620000000000001</v>
      </c>
      <c r="F186" s="120"/>
      <c r="G186" s="121"/>
      <c r="H186" s="122"/>
      <c r="I186" s="121"/>
      <c r="J186" s="121"/>
      <c r="K186" s="179">
        <f t="shared" si="124"/>
        <v>0</v>
      </c>
      <c r="L186" s="184">
        <f t="shared" si="125"/>
        <v>0</v>
      </c>
      <c r="M186" s="121">
        <f t="shared" si="126"/>
        <v>0</v>
      </c>
      <c r="N186" s="121">
        <f t="shared" si="127"/>
        <v>0</v>
      </c>
      <c r="O186" s="121">
        <f t="shared" si="128"/>
        <v>0</v>
      </c>
      <c r="P186" s="123">
        <f t="shared" si="129"/>
        <v>0</v>
      </c>
    </row>
    <row r="187" spans="1:16" ht="26.4" x14ac:dyDescent="0.2">
      <c r="A187" s="163"/>
      <c r="B187" s="164"/>
      <c r="C187" s="165" t="s">
        <v>395</v>
      </c>
      <c r="D187" s="166"/>
      <c r="E187" s="167"/>
      <c r="F187" s="168"/>
      <c r="G187" s="169"/>
      <c r="H187" s="169"/>
      <c r="I187" s="169"/>
      <c r="J187" s="169"/>
      <c r="K187" s="192"/>
      <c r="L187" s="193"/>
      <c r="M187" s="169"/>
      <c r="N187" s="169"/>
      <c r="O187" s="169"/>
      <c r="P187" s="170"/>
    </row>
    <row r="188" spans="1:16" ht="52.8" x14ac:dyDescent="0.2">
      <c r="A188" s="110">
        <v>1</v>
      </c>
      <c r="B188" s="106" t="s">
        <v>60</v>
      </c>
      <c r="C188" s="111" t="s">
        <v>386</v>
      </c>
      <c r="D188" s="106" t="s">
        <v>73</v>
      </c>
      <c r="E188" s="112">
        <f>0.35/0.2</f>
        <v>1.7499999999999998</v>
      </c>
      <c r="F188" s="120"/>
      <c r="G188" s="121"/>
      <c r="H188" s="122">
        <f>ROUND(F188*G188,2)</f>
        <v>0</v>
      </c>
      <c r="I188" s="121"/>
      <c r="J188" s="121"/>
      <c r="K188" s="179">
        <f t="shared" ref="K188:K199" si="130">ROUND(H188+J188+I188,2)</f>
        <v>0</v>
      </c>
      <c r="L188" s="184">
        <f t="shared" ref="L188:L199" si="131">ROUND(E188*F188,2)</f>
        <v>0</v>
      </c>
      <c r="M188" s="121">
        <f t="shared" ref="M188:M199" si="132">ROUND(E188*H188,2)</f>
        <v>0</v>
      </c>
      <c r="N188" s="121">
        <f t="shared" ref="N188:N199" si="133">ROUND(E188*I188,2)</f>
        <v>0</v>
      </c>
      <c r="O188" s="121">
        <f t="shared" ref="O188:O199" si="134">ROUND(E188*J188,2)</f>
        <v>0</v>
      </c>
      <c r="P188" s="123">
        <f t="shared" ref="P188:P199" si="135">ROUND(O188+N188+M188,2)</f>
        <v>0</v>
      </c>
    </row>
    <row r="189" spans="1:16" ht="13.2" x14ac:dyDescent="0.2">
      <c r="A189" s="110">
        <v>2</v>
      </c>
      <c r="B189" s="106"/>
      <c r="C189" s="99" t="s">
        <v>388</v>
      </c>
      <c r="D189" s="106" t="s">
        <v>73</v>
      </c>
      <c r="E189" s="112">
        <f>E188*0.2*1.15/1.2</f>
        <v>0.33541666666666664</v>
      </c>
      <c r="F189" s="120"/>
      <c r="G189" s="121"/>
      <c r="H189" s="122"/>
      <c r="I189" s="121"/>
      <c r="J189" s="121"/>
      <c r="K189" s="179">
        <f t="shared" si="130"/>
        <v>0</v>
      </c>
      <c r="L189" s="184">
        <f t="shared" si="131"/>
        <v>0</v>
      </c>
      <c r="M189" s="121">
        <f t="shared" si="132"/>
        <v>0</v>
      </c>
      <c r="N189" s="121">
        <f t="shared" si="133"/>
        <v>0</v>
      </c>
      <c r="O189" s="121">
        <f t="shared" si="134"/>
        <v>0</v>
      </c>
      <c r="P189" s="123">
        <f t="shared" si="135"/>
        <v>0</v>
      </c>
    </row>
    <row r="190" spans="1:16" ht="26.4" x14ac:dyDescent="0.2">
      <c r="A190" s="110">
        <v>3</v>
      </c>
      <c r="B190" s="106"/>
      <c r="C190" s="99" t="s">
        <v>390</v>
      </c>
      <c r="D190" s="106" t="s">
        <v>89</v>
      </c>
      <c r="E190" s="112">
        <f>E188*1.05*0.2</f>
        <v>0.36749999999999999</v>
      </c>
      <c r="F190" s="120"/>
      <c r="G190" s="121"/>
      <c r="H190" s="122"/>
      <c r="I190" s="121"/>
      <c r="J190" s="121"/>
      <c r="K190" s="179">
        <f t="shared" si="130"/>
        <v>0</v>
      </c>
      <c r="L190" s="184">
        <f t="shared" si="131"/>
        <v>0</v>
      </c>
      <c r="M190" s="121">
        <f t="shared" si="132"/>
        <v>0</v>
      </c>
      <c r="N190" s="121">
        <f t="shared" si="133"/>
        <v>0</v>
      </c>
      <c r="O190" s="121">
        <f t="shared" si="134"/>
        <v>0</v>
      </c>
      <c r="P190" s="123">
        <f t="shared" si="135"/>
        <v>0</v>
      </c>
    </row>
    <row r="191" spans="1:16" ht="13.2" x14ac:dyDescent="0.2">
      <c r="A191" s="110">
        <v>4</v>
      </c>
      <c r="B191" s="106"/>
      <c r="C191" s="99" t="s">
        <v>389</v>
      </c>
      <c r="D191" s="106" t="s">
        <v>62</v>
      </c>
      <c r="E191" s="112">
        <f>18*1.1</f>
        <v>19.8</v>
      </c>
      <c r="F191" s="120"/>
      <c r="G191" s="121"/>
      <c r="H191" s="122"/>
      <c r="I191" s="121"/>
      <c r="J191" s="121"/>
      <c r="K191" s="179">
        <f t="shared" si="130"/>
        <v>0</v>
      </c>
      <c r="L191" s="184">
        <f t="shared" si="131"/>
        <v>0</v>
      </c>
      <c r="M191" s="121">
        <f t="shared" si="132"/>
        <v>0</v>
      </c>
      <c r="N191" s="121">
        <f t="shared" si="133"/>
        <v>0</v>
      </c>
      <c r="O191" s="121">
        <f t="shared" si="134"/>
        <v>0</v>
      </c>
      <c r="P191" s="123">
        <f t="shared" si="135"/>
        <v>0</v>
      </c>
    </row>
    <row r="192" spans="1:16" ht="13.2" x14ac:dyDescent="0.2">
      <c r="A192" s="110">
        <v>5</v>
      </c>
      <c r="B192" s="106"/>
      <c r="C192" s="99" t="s">
        <v>394</v>
      </c>
      <c r="D192" s="106" t="s">
        <v>99</v>
      </c>
      <c r="E192" s="112">
        <f>E188*10*2.5*1.1</f>
        <v>48.124999999999993</v>
      </c>
      <c r="F192" s="120"/>
      <c r="G192" s="121"/>
      <c r="H192" s="122"/>
      <c r="I192" s="121"/>
      <c r="J192" s="121"/>
      <c r="K192" s="179">
        <f t="shared" si="130"/>
        <v>0</v>
      </c>
      <c r="L192" s="184">
        <f t="shared" si="131"/>
        <v>0</v>
      </c>
      <c r="M192" s="121">
        <f t="shared" si="132"/>
        <v>0</v>
      </c>
      <c r="N192" s="121">
        <f t="shared" si="133"/>
        <v>0</v>
      </c>
      <c r="O192" s="121">
        <f t="shared" si="134"/>
        <v>0</v>
      </c>
      <c r="P192" s="123">
        <f t="shared" si="135"/>
        <v>0</v>
      </c>
    </row>
    <row r="193" spans="1:16" ht="13.2" x14ac:dyDescent="0.2">
      <c r="A193" s="110">
        <v>6</v>
      </c>
      <c r="B193" s="106"/>
      <c r="C193" s="99" t="s">
        <v>258</v>
      </c>
      <c r="D193" s="106" t="s">
        <v>259</v>
      </c>
      <c r="E193" s="112">
        <v>8</v>
      </c>
      <c r="F193" s="120"/>
      <c r="G193" s="121"/>
      <c r="H193" s="122"/>
      <c r="I193" s="121"/>
      <c r="J193" s="121"/>
      <c r="K193" s="179">
        <f t="shared" si="130"/>
        <v>0</v>
      </c>
      <c r="L193" s="184">
        <f t="shared" si="131"/>
        <v>0</v>
      </c>
      <c r="M193" s="121">
        <f t="shared" si="132"/>
        <v>0</v>
      </c>
      <c r="N193" s="121">
        <f t="shared" si="133"/>
        <v>0</v>
      </c>
      <c r="O193" s="121">
        <f t="shared" si="134"/>
        <v>0</v>
      </c>
      <c r="P193" s="123">
        <f t="shared" si="135"/>
        <v>0</v>
      </c>
    </row>
    <row r="194" spans="1:16" ht="13.2" x14ac:dyDescent="0.2">
      <c r="A194" s="110">
        <v>7</v>
      </c>
      <c r="B194" s="106"/>
      <c r="C194" s="99" t="s">
        <v>119</v>
      </c>
      <c r="D194" s="106" t="s">
        <v>68</v>
      </c>
      <c r="E194" s="112">
        <f>E188</f>
        <v>1.7499999999999998</v>
      </c>
      <c r="F194" s="120"/>
      <c r="G194" s="121"/>
      <c r="H194" s="122"/>
      <c r="I194" s="121"/>
      <c r="J194" s="121"/>
      <c r="K194" s="179">
        <f t="shared" si="130"/>
        <v>0</v>
      </c>
      <c r="L194" s="184">
        <f t="shared" si="131"/>
        <v>0</v>
      </c>
      <c r="M194" s="121">
        <f t="shared" si="132"/>
        <v>0</v>
      </c>
      <c r="N194" s="121">
        <f t="shared" si="133"/>
        <v>0</v>
      </c>
      <c r="O194" s="121">
        <f t="shared" si="134"/>
        <v>0</v>
      </c>
      <c r="P194" s="123">
        <f t="shared" si="135"/>
        <v>0</v>
      </c>
    </row>
    <row r="195" spans="1:16" ht="13.2" x14ac:dyDescent="0.2">
      <c r="A195" s="110">
        <v>8</v>
      </c>
      <c r="B195" s="106" t="s">
        <v>60</v>
      </c>
      <c r="C195" s="111" t="s">
        <v>323</v>
      </c>
      <c r="D195" s="106" t="s">
        <v>73</v>
      </c>
      <c r="E195" s="112">
        <v>3.5</v>
      </c>
      <c r="F195" s="120"/>
      <c r="G195" s="121"/>
      <c r="H195" s="122">
        <f>ROUND(F195*G195,2)</f>
        <v>0</v>
      </c>
      <c r="I195" s="121"/>
      <c r="J195" s="121"/>
      <c r="K195" s="179">
        <f t="shared" si="130"/>
        <v>0</v>
      </c>
      <c r="L195" s="184">
        <f t="shared" si="131"/>
        <v>0</v>
      </c>
      <c r="M195" s="121">
        <f t="shared" si="132"/>
        <v>0</v>
      </c>
      <c r="N195" s="121">
        <f t="shared" si="133"/>
        <v>0</v>
      </c>
      <c r="O195" s="121">
        <f t="shared" si="134"/>
        <v>0</v>
      </c>
      <c r="P195" s="123">
        <f t="shared" si="135"/>
        <v>0</v>
      </c>
    </row>
    <row r="196" spans="1:16" ht="13.2" x14ac:dyDescent="0.2">
      <c r="A196" s="110">
        <v>9</v>
      </c>
      <c r="B196" s="106"/>
      <c r="C196" s="99" t="s">
        <v>98</v>
      </c>
      <c r="D196" s="106" t="s">
        <v>96</v>
      </c>
      <c r="E196" s="112">
        <f>E195*0.12</f>
        <v>0.42</v>
      </c>
      <c r="F196" s="120"/>
      <c r="G196" s="121"/>
      <c r="H196" s="122"/>
      <c r="I196" s="121"/>
      <c r="J196" s="121"/>
      <c r="K196" s="179">
        <f t="shared" si="130"/>
        <v>0</v>
      </c>
      <c r="L196" s="184">
        <f t="shared" si="131"/>
        <v>0</v>
      </c>
      <c r="M196" s="121">
        <f t="shared" si="132"/>
        <v>0</v>
      </c>
      <c r="N196" s="121">
        <f t="shared" si="133"/>
        <v>0</v>
      </c>
      <c r="O196" s="121">
        <f t="shared" si="134"/>
        <v>0</v>
      </c>
      <c r="P196" s="123">
        <f t="shared" si="135"/>
        <v>0</v>
      </c>
    </row>
    <row r="197" spans="1:16" ht="26.4" x14ac:dyDescent="0.2">
      <c r="A197" s="110">
        <v>10</v>
      </c>
      <c r="B197" s="106"/>
      <c r="C197" s="99" t="s">
        <v>392</v>
      </c>
      <c r="D197" s="106" t="s">
        <v>109</v>
      </c>
      <c r="E197" s="152">
        <f>E195*5</f>
        <v>17.5</v>
      </c>
      <c r="F197" s="120"/>
      <c r="G197" s="121"/>
      <c r="H197" s="122"/>
      <c r="I197" s="121"/>
      <c r="J197" s="121"/>
      <c r="K197" s="179">
        <f t="shared" si="130"/>
        <v>0</v>
      </c>
      <c r="L197" s="184">
        <f t="shared" si="131"/>
        <v>0</v>
      </c>
      <c r="M197" s="121">
        <f t="shared" si="132"/>
        <v>0</v>
      </c>
      <c r="N197" s="121">
        <f t="shared" si="133"/>
        <v>0</v>
      </c>
      <c r="O197" s="121">
        <f t="shared" si="134"/>
        <v>0</v>
      </c>
      <c r="P197" s="123">
        <f t="shared" si="135"/>
        <v>0</v>
      </c>
    </row>
    <row r="198" spans="1:16" ht="13.2" x14ac:dyDescent="0.2">
      <c r="A198" s="110">
        <v>11</v>
      </c>
      <c r="B198" s="106"/>
      <c r="C198" s="99" t="s">
        <v>101</v>
      </c>
      <c r="D198" s="106" t="s">
        <v>73</v>
      </c>
      <c r="E198" s="112">
        <f>E195*1.2</f>
        <v>4.2</v>
      </c>
      <c r="F198" s="120"/>
      <c r="G198" s="121"/>
      <c r="H198" s="122"/>
      <c r="I198" s="121"/>
      <c r="J198" s="121"/>
      <c r="K198" s="179">
        <f t="shared" si="130"/>
        <v>0</v>
      </c>
      <c r="L198" s="184">
        <f t="shared" si="131"/>
        <v>0</v>
      </c>
      <c r="M198" s="121">
        <f t="shared" si="132"/>
        <v>0</v>
      </c>
      <c r="N198" s="121">
        <f t="shared" si="133"/>
        <v>0</v>
      </c>
      <c r="O198" s="121">
        <f t="shared" si="134"/>
        <v>0</v>
      </c>
      <c r="P198" s="123">
        <f t="shared" si="135"/>
        <v>0</v>
      </c>
    </row>
    <row r="199" spans="1:16" ht="13.2" x14ac:dyDescent="0.2">
      <c r="A199" s="110">
        <v>12</v>
      </c>
      <c r="B199" s="106"/>
      <c r="C199" s="99" t="s">
        <v>393</v>
      </c>
      <c r="D199" s="106" t="s">
        <v>62</v>
      </c>
      <c r="E199" s="112">
        <f>2.1*1.1</f>
        <v>2.3100000000000005</v>
      </c>
      <c r="F199" s="120"/>
      <c r="G199" s="121"/>
      <c r="H199" s="122"/>
      <c r="I199" s="121"/>
      <c r="J199" s="121"/>
      <c r="K199" s="179">
        <f t="shared" si="130"/>
        <v>0</v>
      </c>
      <c r="L199" s="184">
        <f t="shared" si="131"/>
        <v>0</v>
      </c>
      <c r="M199" s="121">
        <f t="shared" si="132"/>
        <v>0</v>
      </c>
      <c r="N199" s="121">
        <f t="shared" si="133"/>
        <v>0</v>
      </c>
      <c r="O199" s="121">
        <f t="shared" si="134"/>
        <v>0</v>
      </c>
      <c r="P199" s="123">
        <f t="shared" si="135"/>
        <v>0</v>
      </c>
    </row>
    <row r="200" spans="1:16" ht="26.4" x14ac:dyDescent="0.2">
      <c r="A200" s="163"/>
      <c r="B200" s="164"/>
      <c r="C200" s="165" t="s">
        <v>396</v>
      </c>
      <c r="D200" s="166"/>
      <c r="E200" s="167"/>
      <c r="F200" s="168"/>
      <c r="G200" s="169"/>
      <c r="H200" s="169"/>
      <c r="I200" s="169"/>
      <c r="J200" s="169"/>
      <c r="K200" s="192"/>
      <c r="L200" s="193"/>
      <c r="M200" s="169"/>
      <c r="N200" s="169"/>
      <c r="O200" s="169"/>
      <c r="P200" s="170"/>
    </row>
    <row r="201" spans="1:16" ht="39.6" x14ac:dyDescent="0.2">
      <c r="A201" s="110">
        <v>1</v>
      </c>
      <c r="B201" s="106" t="s">
        <v>60</v>
      </c>
      <c r="C201" s="100" t="s">
        <v>324</v>
      </c>
      <c r="D201" s="106" t="s">
        <v>68</v>
      </c>
      <c r="E201" s="112">
        <v>1</v>
      </c>
      <c r="F201" s="120"/>
      <c r="G201" s="121"/>
      <c r="H201" s="122">
        <f t="shared" ref="H201:H306" si="136">ROUND(F201*G201,2)</f>
        <v>0</v>
      </c>
      <c r="I201" s="121"/>
      <c r="J201" s="121"/>
      <c r="K201" s="179">
        <f t="shared" si="61"/>
        <v>0</v>
      </c>
      <c r="L201" s="184">
        <f t="shared" si="62"/>
        <v>0</v>
      </c>
      <c r="M201" s="121">
        <f t="shared" si="63"/>
        <v>0</v>
      </c>
      <c r="N201" s="121">
        <f t="shared" si="64"/>
        <v>0</v>
      </c>
      <c r="O201" s="121">
        <f t="shared" si="65"/>
        <v>0</v>
      </c>
      <c r="P201" s="123">
        <f>ROUND(O201+N201+M201,2)</f>
        <v>0</v>
      </c>
    </row>
    <row r="202" spans="1:16" ht="52.8" x14ac:dyDescent="0.2">
      <c r="A202" s="110">
        <v>2</v>
      </c>
      <c r="B202" s="106" t="s">
        <v>60</v>
      </c>
      <c r="C202" s="111" t="s">
        <v>387</v>
      </c>
      <c r="D202" s="106" t="s">
        <v>73</v>
      </c>
      <c r="E202" s="112">
        <f>0.14/0.2</f>
        <v>0.70000000000000007</v>
      </c>
      <c r="F202" s="120"/>
      <c r="G202" s="121"/>
      <c r="H202" s="122">
        <f>ROUND(F202*G202,2)</f>
        <v>0</v>
      </c>
      <c r="I202" s="121"/>
      <c r="J202" s="121"/>
      <c r="K202" s="179">
        <f t="shared" si="61"/>
        <v>0</v>
      </c>
      <c r="L202" s="184">
        <f t="shared" si="62"/>
        <v>0</v>
      </c>
      <c r="M202" s="121">
        <f t="shared" si="63"/>
        <v>0</v>
      </c>
      <c r="N202" s="121">
        <f t="shared" si="64"/>
        <v>0</v>
      </c>
      <c r="O202" s="121">
        <f t="shared" si="65"/>
        <v>0</v>
      </c>
      <c r="P202" s="123">
        <f t="shared" si="66"/>
        <v>0</v>
      </c>
    </row>
    <row r="203" spans="1:16" ht="13.2" x14ac:dyDescent="0.2">
      <c r="A203" s="110">
        <v>3</v>
      </c>
      <c r="B203" s="106"/>
      <c r="C203" s="99" t="s">
        <v>388</v>
      </c>
      <c r="D203" s="106" t="s">
        <v>73</v>
      </c>
      <c r="E203" s="112">
        <f>E202*0.2*1.15/1.2</f>
        <v>0.13416666666666668</v>
      </c>
      <c r="F203" s="120"/>
      <c r="G203" s="121"/>
      <c r="H203" s="122"/>
      <c r="I203" s="121"/>
      <c r="J203" s="121"/>
      <c r="K203" s="179">
        <f t="shared" si="61"/>
        <v>0</v>
      </c>
      <c r="L203" s="184">
        <f t="shared" si="62"/>
        <v>0</v>
      </c>
      <c r="M203" s="121">
        <f t="shared" si="63"/>
        <v>0</v>
      </c>
      <c r="N203" s="121">
        <f t="shared" si="64"/>
        <v>0</v>
      </c>
      <c r="O203" s="121">
        <f t="shared" si="65"/>
        <v>0</v>
      </c>
      <c r="P203" s="123">
        <f t="shared" si="66"/>
        <v>0</v>
      </c>
    </row>
    <row r="204" spans="1:16" ht="26.4" x14ac:dyDescent="0.2">
      <c r="A204" s="110">
        <v>4</v>
      </c>
      <c r="B204" s="106"/>
      <c r="C204" s="99" t="s">
        <v>390</v>
      </c>
      <c r="D204" s="106" t="s">
        <v>89</v>
      </c>
      <c r="E204" s="112">
        <f>E202*1.05*0.2</f>
        <v>0.14700000000000002</v>
      </c>
      <c r="F204" s="120"/>
      <c r="G204" s="121"/>
      <c r="H204" s="122"/>
      <c r="I204" s="121"/>
      <c r="J204" s="121"/>
      <c r="K204" s="179">
        <f t="shared" si="61"/>
        <v>0</v>
      </c>
      <c r="L204" s="184">
        <f t="shared" si="62"/>
        <v>0</v>
      </c>
      <c r="M204" s="121">
        <f t="shared" si="63"/>
        <v>0</v>
      </c>
      <c r="N204" s="121">
        <f t="shared" si="64"/>
        <v>0</v>
      </c>
      <c r="O204" s="121">
        <f t="shared" si="65"/>
        <v>0</v>
      </c>
      <c r="P204" s="123">
        <f t="shared" si="66"/>
        <v>0</v>
      </c>
    </row>
    <row r="205" spans="1:16" ht="13.2" x14ac:dyDescent="0.2">
      <c r="A205" s="110">
        <v>5</v>
      </c>
      <c r="B205" s="106"/>
      <c r="C205" s="99" t="s">
        <v>389</v>
      </c>
      <c r="D205" s="106" t="s">
        <v>62</v>
      </c>
      <c r="E205" s="112">
        <f>3.6*1.1</f>
        <v>3.9600000000000004</v>
      </c>
      <c r="F205" s="120"/>
      <c r="G205" s="121"/>
      <c r="H205" s="122"/>
      <c r="I205" s="121"/>
      <c r="J205" s="121"/>
      <c r="K205" s="179">
        <f t="shared" si="61"/>
        <v>0</v>
      </c>
      <c r="L205" s="184">
        <f t="shared" si="62"/>
        <v>0</v>
      </c>
      <c r="M205" s="121">
        <f t="shared" si="63"/>
        <v>0</v>
      </c>
      <c r="N205" s="121">
        <f t="shared" si="64"/>
        <v>0</v>
      </c>
      <c r="O205" s="121">
        <f t="shared" si="65"/>
        <v>0</v>
      </c>
      <c r="P205" s="123">
        <f t="shared" si="66"/>
        <v>0</v>
      </c>
    </row>
    <row r="206" spans="1:16" ht="13.2" x14ac:dyDescent="0.2">
      <c r="A206" s="110">
        <v>6</v>
      </c>
      <c r="B206" s="106"/>
      <c r="C206" s="99" t="s">
        <v>394</v>
      </c>
      <c r="D206" s="106" t="s">
        <v>99</v>
      </c>
      <c r="E206" s="112">
        <f>E202*10*2.5*1.1</f>
        <v>19.250000000000007</v>
      </c>
      <c r="F206" s="120"/>
      <c r="G206" s="121"/>
      <c r="H206" s="122"/>
      <c r="I206" s="121"/>
      <c r="J206" s="121"/>
      <c r="K206" s="179">
        <f t="shared" si="61"/>
        <v>0</v>
      </c>
      <c r="L206" s="184">
        <f t="shared" si="62"/>
        <v>0</v>
      </c>
      <c r="M206" s="121">
        <f t="shared" si="63"/>
        <v>0</v>
      </c>
      <c r="N206" s="121">
        <f t="shared" si="64"/>
        <v>0</v>
      </c>
      <c r="O206" s="121">
        <f t="shared" si="65"/>
        <v>0</v>
      </c>
      <c r="P206" s="123">
        <f t="shared" si="66"/>
        <v>0</v>
      </c>
    </row>
    <row r="207" spans="1:16" ht="13.2" x14ac:dyDescent="0.2">
      <c r="A207" s="110">
        <v>7</v>
      </c>
      <c r="B207" s="106"/>
      <c r="C207" s="99" t="s">
        <v>258</v>
      </c>
      <c r="D207" s="106" t="s">
        <v>259</v>
      </c>
      <c r="E207" s="112">
        <v>4</v>
      </c>
      <c r="F207" s="120"/>
      <c r="G207" s="121"/>
      <c r="H207" s="122"/>
      <c r="I207" s="121"/>
      <c r="J207" s="121"/>
      <c r="K207" s="179">
        <f t="shared" si="61"/>
        <v>0</v>
      </c>
      <c r="L207" s="184">
        <f t="shared" si="62"/>
        <v>0</v>
      </c>
      <c r="M207" s="121">
        <f t="shared" si="63"/>
        <v>0</v>
      </c>
      <c r="N207" s="121">
        <f t="shared" si="64"/>
        <v>0</v>
      </c>
      <c r="O207" s="121">
        <f t="shared" si="65"/>
        <v>0</v>
      </c>
      <c r="P207" s="123">
        <f t="shared" si="66"/>
        <v>0</v>
      </c>
    </row>
    <row r="208" spans="1:16" ht="13.2" x14ac:dyDescent="0.2">
      <c r="A208" s="110">
        <v>8</v>
      </c>
      <c r="B208" s="106"/>
      <c r="C208" s="99" t="s">
        <v>119</v>
      </c>
      <c r="D208" s="106" t="s">
        <v>68</v>
      </c>
      <c r="E208" s="112">
        <f>E202</f>
        <v>0.70000000000000007</v>
      </c>
      <c r="F208" s="120"/>
      <c r="G208" s="121"/>
      <c r="H208" s="122"/>
      <c r="I208" s="121"/>
      <c r="J208" s="121"/>
      <c r="K208" s="179">
        <f t="shared" si="61"/>
        <v>0</v>
      </c>
      <c r="L208" s="184">
        <f t="shared" si="62"/>
        <v>0</v>
      </c>
      <c r="M208" s="121">
        <f t="shared" si="63"/>
        <v>0</v>
      </c>
      <c r="N208" s="121">
        <f t="shared" si="64"/>
        <v>0</v>
      </c>
      <c r="O208" s="121">
        <f t="shared" si="65"/>
        <v>0</v>
      </c>
      <c r="P208" s="123">
        <f t="shared" si="66"/>
        <v>0</v>
      </c>
    </row>
    <row r="209" spans="1:16" ht="13.2" x14ac:dyDescent="0.2">
      <c r="A209" s="110">
        <v>9</v>
      </c>
      <c r="B209" s="106" t="s">
        <v>60</v>
      </c>
      <c r="C209" s="111" t="s">
        <v>325</v>
      </c>
      <c r="D209" s="106" t="s">
        <v>73</v>
      </c>
      <c r="E209" s="112">
        <f>0.75+0.5</f>
        <v>1.25</v>
      </c>
      <c r="F209" s="120"/>
      <c r="G209" s="121"/>
      <c r="H209" s="122">
        <f>ROUND(F209*G209,2)</f>
        <v>0</v>
      </c>
      <c r="I209" s="121"/>
      <c r="J209" s="121"/>
      <c r="K209" s="179">
        <f t="shared" si="61"/>
        <v>0</v>
      </c>
      <c r="L209" s="184">
        <f t="shared" si="62"/>
        <v>0</v>
      </c>
      <c r="M209" s="121">
        <f t="shared" si="63"/>
        <v>0</v>
      </c>
      <c r="N209" s="121">
        <f t="shared" si="64"/>
        <v>0</v>
      </c>
      <c r="O209" s="121">
        <f t="shared" si="65"/>
        <v>0</v>
      </c>
      <c r="P209" s="123">
        <f t="shared" si="66"/>
        <v>0</v>
      </c>
    </row>
    <row r="210" spans="1:16" ht="13.2" x14ac:dyDescent="0.2">
      <c r="A210" s="110">
        <v>10</v>
      </c>
      <c r="B210" s="106"/>
      <c r="C210" s="99" t="s">
        <v>98</v>
      </c>
      <c r="D210" s="106" t="s">
        <v>96</v>
      </c>
      <c r="E210" s="112">
        <f>E209*0.12</f>
        <v>0.15</v>
      </c>
      <c r="F210" s="120"/>
      <c r="G210" s="121"/>
      <c r="H210" s="122"/>
      <c r="I210" s="121"/>
      <c r="J210" s="121"/>
      <c r="K210" s="179">
        <f t="shared" si="61"/>
        <v>0</v>
      </c>
      <c r="L210" s="184">
        <f t="shared" si="62"/>
        <v>0</v>
      </c>
      <c r="M210" s="121">
        <f t="shared" si="63"/>
        <v>0</v>
      </c>
      <c r="N210" s="121">
        <f t="shared" si="64"/>
        <v>0</v>
      </c>
      <c r="O210" s="121">
        <f t="shared" si="65"/>
        <v>0</v>
      </c>
      <c r="P210" s="123">
        <f t="shared" si="66"/>
        <v>0</v>
      </c>
    </row>
    <row r="211" spans="1:16" ht="26.4" x14ac:dyDescent="0.2">
      <c r="A211" s="110">
        <v>11</v>
      </c>
      <c r="B211" s="106"/>
      <c r="C211" s="99" t="s">
        <v>392</v>
      </c>
      <c r="D211" s="106" t="s">
        <v>109</v>
      </c>
      <c r="E211" s="152">
        <f>E209*5</f>
        <v>6.25</v>
      </c>
      <c r="F211" s="120"/>
      <c r="G211" s="121"/>
      <c r="H211" s="122"/>
      <c r="I211" s="121"/>
      <c r="J211" s="121"/>
      <c r="K211" s="179">
        <f t="shared" si="61"/>
        <v>0</v>
      </c>
      <c r="L211" s="184">
        <f t="shared" si="62"/>
        <v>0</v>
      </c>
      <c r="M211" s="121">
        <f t="shared" si="63"/>
        <v>0</v>
      </c>
      <c r="N211" s="121">
        <f t="shared" si="64"/>
        <v>0</v>
      </c>
      <c r="O211" s="121">
        <f t="shared" si="65"/>
        <v>0</v>
      </c>
      <c r="P211" s="123">
        <f t="shared" si="66"/>
        <v>0</v>
      </c>
    </row>
    <row r="212" spans="1:16" ht="13.2" x14ac:dyDescent="0.2">
      <c r="A212" s="110">
        <v>12</v>
      </c>
      <c r="B212" s="106"/>
      <c r="C212" s="99" t="s">
        <v>101</v>
      </c>
      <c r="D212" s="106" t="s">
        <v>73</v>
      </c>
      <c r="E212" s="112">
        <f>E209*1.2</f>
        <v>1.5</v>
      </c>
      <c r="F212" s="120"/>
      <c r="G212" s="121"/>
      <c r="H212" s="122"/>
      <c r="I212" s="121"/>
      <c r="J212" s="121"/>
      <c r="K212" s="179">
        <f t="shared" si="61"/>
        <v>0</v>
      </c>
      <c r="L212" s="184">
        <f t="shared" si="62"/>
        <v>0</v>
      </c>
      <c r="M212" s="121">
        <f t="shared" si="63"/>
        <v>0</v>
      </c>
      <c r="N212" s="121">
        <f t="shared" si="64"/>
        <v>0</v>
      </c>
      <c r="O212" s="121">
        <f t="shared" si="65"/>
        <v>0</v>
      </c>
      <c r="P212" s="123">
        <f t="shared" si="66"/>
        <v>0</v>
      </c>
    </row>
    <row r="213" spans="1:16" ht="13.2" x14ac:dyDescent="0.2">
      <c r="A213" s="110">
        <v>13</v>
      </c>
      <c r="B213" s="106" t="s">
        <v>60</v>
      </c>
      <c r="C213" s="111" t="s">
        <v>327</v>
      </c>
      <c r="D213" s="106" t="s">
        <v>73</v>
      </c>
      <c r="E213" s="112">
        <v>0.77</v>
      </c>
      <c r="F213" s="120"/>
      <c r="G213" s="121"/>
      <c r="H213" s="122">
        <f>ROUND(F213*G213,2)</f>
        <v>0</v>
      </c>
      <c r="I213" s="121"/>
      <c r="J213" s="121"/>
      <c r="K213" s="179">
        <f t="shared" si="61"/>
        <v>0</v>
      </c>
      <c r="L213" s="184">
        <f t="shared" si="62"/>
        <v>0</v>
      </c>
      <c r="M213" s="121">
        <f t="shared" si="63"/>
        <v>0</v>
      </c>
      <c r="N213" s="121">
        <f t="shared" si="64"/>
        <v>0</v>
      </c>
      <c r="O213" s="121">
        <f t="shared" si="65"/>
        <v>0</v>
      </c>
      <c r="P213" s="123">
        <f t="shared" si="66"/>
        <v>0</v>
      </c>
    </row>
    <row r="214" spans="1:16" ht="13.2" x14ac:dyDescent="0.2">
      <c r="A214" s="110">
        <v>14</v>
      </c>
      <c r="B214" s="106"/>
      <c r="C214" s="99" t="s">
        <v>292</v>
      </c>
      <c r="D214" s="106" t="s">
        <v>96</v>
      </c>
      <c r="E214" s="112">
        <f>E213*0.17</f>
        <v>0.13090000000000002</v>
      </c>
      <c r="F214" s="120"/>
      <c r="G214" s="121"/>
      <c r="H214" s="122"/>
      <c r="I214" s="121"/>
      <c r="J214" s="121"/>
      <c r="K214" s="179">
        <f t="shared" si="61"/>
        <v>0</v>
      </c>
      <c r="L214" s="184">
        <f t="shared" si="62"/>
        <v>0</v>
      </c>
      <c r="M214" s="121">
        <f t="shared" si="63"/>
        <v>0</v>
      </c>
      <c r="N214" s="121">
        <f t="shared" si="64"/>
        <v>0</v>
      </c>
      <c r="O214" s="121">
        <f t="shared" si="65"/>
        <v>0</v>
      </c>
      <c r="P214" s="123">
        <f t="shared" si="66"/>
        <v>0</v>
      </c>
    </row>
    <row r="215" spans="1:16" ht="26.4" x14ac:dyDescent="0.2">
      <c r="A215" s="110">
        <v>15</v>
      </c>
      <c r="B215" s="106"/>
      <c r="C215" s="99" t="s">
        <v>392</v>
      </c>
      <c r="D215" s="106" t="s">
        <v>99</v>
      </c>
      <c r="E215" s="112">
        <f>E213*1.53*6*1.1</f>
        <v>7.7754600000000016</v>
      </c>
      <c r="F215" s="120"/>
      <c r="G215" s="121"/>
      <c r="H215" s="122"/>
      <c r="I215" s="121"/>
      <c r="J215" s="121"/>
      <c r="K215" s="179">
        <f t="shared" si="61"/>
        <v>0</v>
      </c>
      <c r="L215" s="184">
        <f t="shared" si="62"/>
        <v>0</v>
      </c>
      <c r="M215" s="121">
        <f t="shared" si="63"/>
        <v>0</v>
      </c>
      <c r="N215" s="121">
        <f t="shared" si="64"/>
        <v>0</v>
      </c>
      <c r="O215" s="121">
        <f t="shared" si="65"/>
        <v>0</v>
      </c>
      <c r="P215" s="123">
        <f t="shared" si="66"/>
        <v>0</v>
      </c>
    </row>
    <row r="216" spans="1:16" ht="13.2" x14ac:dyDescent="0.2">
      <c r="A216" s="110">
        <v>16</v>
      </c>
      <c r="B216" s="106"/>
      <c r="C216" s="99" t="s">
        <v>101</v>
      </c>
      <c r="D216" s="106" t="s">
        <v>73</v>
      </c>
      <c r="E216" s="154">
        <f>E213*1.2</f>
        <v>0.92399999999999993</v>
      </c>
      <c r="F216" s="120"/>
      <c r="G216" s="121"/>
      <c r="H216" s="122"/>
      <c r="I216" s="121"/>
      <c r="J216" s="121"/>
      <c r="K216" s="179">
        <f t="shared" si="61"/>
        <v>0</v>
      </c>
      <c r="L216" s="184">
        <f t="shared" si="62"/>
        <v>0</v>
      </c>
      <c r="M216" s="121">
        <f t="shared" si="63"/>
        <v>0</v>
      </c>
      <c r="N216" s="121">
        <f t="shared" si="64"/>
        <v>0</v>
      </c>
      <c r="O216" s="121">
        <f t="shared" si="65"/>
        <v>0</v>
      </c>
      <c r="P216" s="123">
        <f t="shared" si="66"/>
        <v>0</v>
      </c>
    </row>
    <row r="217" spans="1:16" ht="13.2" x14ac:dyDescent="0.2">
      <c r="A217" s="110">
        <v>17</v>
      </c>
      <c r="B217" s="106"/>
      <c r="C217" s="99" t="s">
        <v>313</v>
      </c>
      <c r="D217" s="106" t="s">
        <v>62</v>
      </c>
      <c r="E217" s="112">
        <f>1.5*1.1</f>
        <v>1.6500000000000001</v>
      </c>
      <c r="F217" s="120"/>
      <c r="G217" s="121"/>
      <c r="H217" s="122"/>
      <c r="I217" s="121"/>
      <c r="J217" s="121"/>
      <c r="K217" s="179">
        <f t="shared" si="61"/>
        <v>0</v>
      </c>
      <c r="L217" s="184">
        <f t="shared" si="62"/>
        <v>0</v>
      </c>
      <c r="M217" s="121">
        <f t="shared" si="63"/>
        <v>0</v>
      </c>
      <c r="N217" s="121">
        <f t="shared" si="64"/>
        <v>0</v>
      </c>
      <c r="O217" s="121">
        <f t="shared" si="65"/>
        <v>0</v>
      </c>
      <c r="P217" s="123">
        <f t="shared" si="66"/>
        <v>0</v>
      </c>
    </row>
    <row r="218" spans="1:16" ht="13.2" x14ac:dyDescent="0.2">
      <c r="A218" s="110">
        <v>18</v>
      </c>
      <c r="B218" s="106"/>
      <c r="C218" s="99" t="s">
        <v>326</v>
      </c>
      <c r="D218" s="106" t="s">
        <v>62</v>
      </c>
      <c r="E218" s="112">
        <f>5*1.1</f>
        <v>5.5</v>
      </c>
      <c r="F218" s="120"/>
      <c r="G218" s="121"/>
      <c r="H218" s="122"/>
      <c r="I218" s="121"/>
      <c r="J218" s="121"/>
      <c r="K218" s="179">
        <f t="shared" si="61"/>
        <v>0</v>
      </c>
      <c r="L218" s="184">
        <f t="shared" si="62"/>
        <v>0</v>
      </c>
      <c r="M218" s="121">
        <f t="shared" si="63"/>
        <v>0</v>
      </c>
      <c r="N218" s="121">
        <f t="shared" si="64"/>
        <v>0</v>
      </c>
      <c r="O218" s="121">
        <f t="shared" si="65"/>
        <v>0</v>
      </c>
      <c r="P218" s="123">
        <f t="shared" si="66"/>
        <v>0</v>
      </c>
    </row>
    <row r="219" spans="1:16" ht="26.4" x14ac:dyDescent="0.2">
      <c r="A219" s="110">
        <v>19</v>
      </c>
      <c r="B219" s="106"/>
      <c r="C219" s="99" t="s">
        <v>383</v>
      </c>
      <c r="D219" s="106" t="s">
        <v>96</v>
      </c>
      <c r="E219" s="154">
        <f>E213*0.17</f>
        <v>0.13090000000000002</v>
      </c>
      <c r="F219" s="120"/>
      <c r="G219" s="121"/>
      <c r="H219" s="122"/>
      <c r="I219" s="121"/>
      <c r="J219" s="121"/>
      <c r="K219" s="179">
        <f t="shared" si="61"/>
        <v>0</v>
      </c>
      <c r="L219" s="184">
        <f t="shared" si="62"/>
        <v>0</v>
      </c>
      <c r="M219" s="121">
        <f t="shared" si="63"/>
        <v>0</v>
      </c>
      <c r="N219" s="121">
        <f t="shared" si="64"/>
        <v>0</v>
      </c>
      <c r="O219" s="121">
        <f t="shared" si="65"/>
        <v>0</v>
      </c>
      <c r="P219" s="123">
        <f t="shared" si="66"/>
        <v>0</v>
      </c>
    </row>
    <row r="220" spans="1:16" ht="26.4" x14ac:dyDescent="0.2">
      <c r="A220" s="110">
        <v>20</v>
      </c>
      <c r="B220" s="106"/>
      <c r="C220" s="99" t="s">
        <v>384</v>
      </c>
      <c r="D220" s="106" t="s">
        <v>99</v>
      </c>
      <c r="E220" s="112">
        <f>E213*3*1.1</f>
        <v>2.5410000000000004</v>
      </c>
      <c r="F220" s="120"/>
      <c r="G220" s="121"/>
      <c r="H220" s="122"/>
      <c r="I220" s="121"/>
      <c r="J220" s="121"/>
      <c r="K220" s="179">
        <f t="shared" si="61"/>
        <v>0</v>
      </c>
      <c r="L220" s="184">
        <f t="shared" si="62"/>
        <v>0</v>
      </c>
      <c r="M220" s="121">
        <f t="shared" si="63"/>
        <v>0</v>
      </c>
      <c r="N220" s="121">
        <f t="shared" si="64"/>
        <v>0</v>
      </c>
      <c r="O220" s="121">
        <f t="shared" si="65"/>
        <v>0</v>
      </c>
      <c r="P220" s="123">
        <f t="shared" si="66"/>
        <v>0</v>
      </c>
    </row>
    <row r="221" spans="1:16" ht="13.2" x14ac:dyDescent="0.2">
      <c r="A221" s="110">
        <v>21</v>
      </c>
      <c r="B221" s="106"/>
      <c r="C221" s="99" t="s">
        <v>119</v>
      </c>
      <c r="D221" s="106" t="s">
        <v>73</v>
      </c>
      <c r="E221" s="112">
        <f>E213</f>
        <v>0.77</v>
      </c>
      <c r="F221" s="120"/>
      <c r="G221" s="121"/>
      <c r="H221" s="122"/>
      <c r="I221" s="121"/>
      <c r="J221" s="121"/>
      <c r="K221" s="179">
        <f t="shared" si="61"/>
        <v>0</v>
      </c>
      <c r="L221" s="184">
        <f t="shared" si="62"/>
        <v>0</v>
      </c>
      <c r="M221" s="121">
        <f t="shared" si="63"/>
        <v>0</v>
      </c>
      <c r="N221" s="121">
        <f t="shared" si="64"/>
        <v>0</v>
      </c>
      <c r="O221" s="121">
        <f t="shared" si="65"/>
        <v>0</v>
      </c>
      <c r="P221" s="123">
        <f t="shared" si="66"/>
        <v>0</v>
      </c>
    </row>
    <row r="222" spans="1:16" ht="13.2" x14ac:dyDescent="0.2">
      <c r="A222" s="110">
        <v>22</v>
      </c>
      <c r="B222" s="106" t="s">
        <v>60</v>
      </c>
      <c r="C222" s="100" t="s">
        <v>328</v>
      </c>
      <c r="D222" s="106" t="s">
        <v>62</v>
      </c>
      <c r="E222" s="112">
        <v>7.5</v>
      </c>
      <c r="F222" s="120"/>
      <c r="G222" s="121"/>
      <c r="H222" s="122">
        <f>ROUND(F222*G222,2)</f>
        <v>0</v>
      </c>
      <c r="I222" s="121"/>
      <c r="J222" s="121"/>
      <c r="K222" s="179">
        <f t="shared" si="61"/>
        <v>0</v>
      </c>
      <c r="L222" s="184">
        <f t="shared" si="62"/>
        <v>0</v>
      </c>
      <c r="M222" s="121">
        <f t="shared" si="63"/>
        <v>0</v>
      </c>
      <c r="N222" s="121">
        <f t="shared" si="64"/>
        <v>0</v>
      </c>
      <c r="O222" s="121">
        <f t="shared" si="65"/>
        <v>0</v>
      </c>
      <c r="P222" s="123">
        <f t="shared" si="66"/>
        <v>0</v>
      </c>
    </row>
    <row r="223" spans="1:16" ht="26.4" x14ac:dyDescent="0.2">
      <c r="A223" s="110">
        <v>23</v>
      </c>
      <c r="B223" s="106" t="s">
        <v>60</v>
      </c>
      <c r="C223" s="100" t="s">
        <v>329</v>
      </c>
      <c r="D223" s="106" t="s">
        <v>62</v>
      </c>
      <c r="E223" s="112">
        <v>3.5</v>
      </c>
      <c r="F223" s="120"/>
      <c r="G223" s="121"/>
      <c r="H223" s="122">
        <f t="shared" ref="H223:H302" si="137">ROUND(F223*G223,2)</f>
        <v>0</v>
      </c>
      <c r="I223" s="121"/>
      <c r="J223" s="121"/>
      <c r="K223" s="179">
        <f t="shared" si="61"/>
        <v>0</v>
      </c>
      <c r="L223" s="184">
        <f t="shared" si="62"/>
        <v>0</v>
      </c>
      <c r="M223" s="121">
        <f t="shared" si="63"/>
        <v>0</v>
      </c>
      <c r="N223" s="121">
        <f t="shared" si="64"/>
        <v>0</v>
      </c>
      <c r="O223" s="121">
        <f t="shared" si="65"/>
        <v>0</v>
      </c>
      <c r="P223" s="123">
        <f t="shared" si="66"/>
        <v>0</v>
      </c>
    </row>
    <row r="224" spans="1:16" ht="13.2" x14ac:dyDescent="0.2">
      <c r="A224" s="110">
        <v>24</v>
      </c>
      <c r="B224" s="106" t="s">
        <v>60</v>
      </c>
      <c r="C224" s="100" t="s">
        <v>330</v>
      </c>
      <c r="D224" s="106" t="s">
        <v>89</v>
      </c>
      <c r="E224" s="112">
        <v>0.88</v>
      </c>
      <c r="F224" s="120"/>
      <c r="G224" s="121"/>
      <c r="H224" s="122">
        <f t="shared" si="137"/>
        <v>0</v>
      </c>
      <c r="I224" s="121"/>
      <c r="J224" s="121"/>
      <c r="K224" s="179">
        <f t="shared" si="61"/>
        <v>0</v>
      </c>
      <c r="L224" s="184">
        <f t="shared" si="62"/>
        <v>0</v>
      </c>
      <c r="M224" s="121">
        <f t="shared" si="63"/>
        <v>0</v>
      </c>
      <c r="N224" s="121">
        <f t="shared" si="64"/>
        <v>0</v>
      </c>
      <c r="O224" s="121">
        <f t="shared" si="65"/>
        <v>0</v>
      </c>
      <c r="P224" s="123">
        <f t="shared" si="66"/>
        <v>0</v>
      </c>
    </row>
    <row r="225" spans="1:16" ht="26.4" x14ac:dyDescent="0.2">
      <c r="A225" s="163"/>
      <c r="B225" s="164"/>
      <c r="C225" s="165" t="s">
        <v>400</v>
      </c>
      <c r="D225" s="166"/>
      <c r="E225" s="167"/>
      <c r="F225" s="168"/>
      <c r="G225" s="169"/>
      <c r="H225" s="169"/>
      <c r="I225" s="169"/>
      <c r="J225" s="169"/>
      <c r="K225" s="192"/>
      <c r="L225" s="193"/>
      <c r="M225" s="169"/>
      <c r="N225" s="169"/>
      <c r="O225" s="169"/>
      <c r="P225" s="170"/>
    </row>
    <row r="226" spans="1:16" ht="13.2" x14ac:dyDescent="0.2">
      <c r="A226" s="110">
        <v>1</v>
      </c>
      <c r="B226" s="106" t="s">
        <v>60</v>
      </c>
      <c r="C226" s="100" t="s">
        <v>331</v>
      </c>
      <c r="D226" s="106" t="s">
        <v>89</v>
      </c>
      <c r="E226" s="112">
        <v>1.43</v>
      </c>
      <c r="F226" s="120"/>
      <c r="G226" s="121"/>
      <c r="H226" s="122">
        <f>ROUND(F226*G226,2)</f>
        <v>0</v>
      </c>
      <c r="I226" s="121"/>
      <c r="J226" s="121"/>
      <c r="K226" s="179">
        <f t="shared" si="61"/>
        <v>0</v>
      </c>
      <c r="L226" s="184">
        <f t="shared" si="62"/>
        <v>0</v>
      </c>
      <c r="M226" s="121">
        <f t="shared" si="63"/>
        <v>0</v>
      </c>
      <c r="N226" s="121">
        <f t="shared" si="64"/>
        <v>0</v>
      </c>
      <c r="O226" s="121">
        <f t="shared" si="65"/>
        <v>0</v>
      </c>
      <c r="P226" s="123">
        <f t="shared" si="66"/>
        <v>0</v>
      </c>
    </row>
    <row r="227" spans="1:16" ht="13.2" x14ac:dyDescent="0.2">
      <c r="A227" s="110">
        <v>2</v>
      </c>
      <c r="B227" s="106" t="s">
        <v>60</v>
      </c>
      <c r="C227" s="100" t="s">
        <v>332</v>
      </c>
      <c r="D227" s="106" t="s">
        <v>73</v>
      </c>
      <c r="E227" s="112">
        <v>2.4700000000000002</v>
      </c>
      <c r="F227" s="120"/>
      <c r="G227" s="121"/>
      <c r="H227" s="122">
        <f t="shared" ref="H227:H237" si="138">ROUND(F227*G227,2)</f>
        <v>0</v>
      </c>
      <c r="I227" s="121"/>
      <c r="J227" s="121"/>
      <c r="K227" s="179">
        <f t="shared" si="61"/>
        <v>0</v>
      </c>
      <c r="L227" s="184">
        <f t="shared" si="62"/>
        <v>0</v>
      </c>
      <c r="M227" s="121">
        <f t="shared" si="63"/>
        <v>0</v>
      </c>
      <c r="N227" s="121">
        <f t="shared" si="64"/>
        <v>0</v>
      </c>
      <c r="O227" s="121">
        <f t="shared" si="65"/>
        <v>0</v>
      </c>
      <c r="P227" s="123">
        <f t="shared" si="66"/>
        <v>0</v>
      </c>
    </row>
    <row r="228" spans="1:16" ht="13.2" x14ac:dyDescent="0.2">
      <c r="A228" s="110">
        <v>3</v>
      </c>
      <c r="B228" s="106" t="s">
        <v>60</v>
      </c>
      <c r="C228" s="100" t="s">
        <v>333</v>
      </c>
      <c r="D228" s="106" t="s">
        <v>89</v>
      </c>
      <c r="E228" s="112">
        <v>0.16</v>
      </c>
      <c r="F228" s="120"/>
      <c r="G228" s="121"/>
      <c r="H228" s="122">
        <f t="shared" si="138"/>
        <v>0</v>
      </c>
      <c r="I228" s="121"/>
      <c r="J228" s="121"/>
      <c r="K228" s="179">
        <f t="shared" si="61"/>
        <v>0</v>
      </c>
      <c r="L228" s="184">
        <f t="shared" si="62"/>
        <v>0</v>
      </c>
      <c r="M228" s="121">
        <f t="shared" si="63"/>
        <v>0</v>
      </c>
      <c r="N228" s="121">
        <f t="shared" si="64"/>
        <v>0</v>
      </c>
      <c r="O228" s="121">
        <f t="shared" si="65"/>
        <v>0</v>
      </c>
      <c r="P228" s="123">
        <f t="shared" si="66"/>
        <v>0</v>
      </c>
    </row>
    <row r="229" spans="1:16" ht="13.2" x14ac:dyDescent="0.2">
      <c r="A229" s="110">
        <v>4</v>
      </c>
      <c r="B229" s="106" t="s">
        <v>60</v>
      </c>
      <c r="C229" s="100" t="s">
        <v>124</v>
      </c>
      <c r="D229" s="106" t="s">
        <v>73</v>
      </c>
      <c r="E229" s="112">
        <v>2.2000000000000002</v>
      </c>
      <c r="F229" s="120"/>
      <c r="G229" s="121"/>
      <c r="H229" s="122">
        <f t="shared" si="138"/>
        <v>0</v>
      </c>
      <c r="I229" s="121"/>
      <c r="J229" s="121"/>
      <c r="K229" s="179">
        <f>ROUND(H229+J229+I229,2)</f>
        <v>0</v>
      </c>
      <c r="L229" s="184">
        <f>ROUND(E229*F229,2)</f>
        <v>0</v>
      </c>
      <c r="M229" s="121">
        <f>ROUND(E229*H229,2)</f>
        <v>0</v>
      </c>
      <c r="N229" s="121">
        <f>ROUND(E229*I229,2)</f>
        <v>0</v>
      </c>
      <c r="O229" s="121">
        <f>ROUND(E229*J229,2)</f>
        <v>0</v>
      </c>
      <c r="P229" s="123">
        <f>ROUND(O229+N229+M229,2)</f>
        <v>0</v>
      </c>
    </row>
    <row r="230" spans="1:16" ht="13.2" x14ac:dyDescent="0.2">
      <c r="A230" s="110">
        <v>5</v>
      </c>
      <c r="B230" s="106"/>
      <c r="C230" s="99" t="s">
        <v>125</v>
      </c>
      <c r="D230" s="106" t="s">
        <v>126</v>
      </c>
      <c r="E230" s="112">
        <f>ROUND(E229/4,2)</f>
        <v>0.55000000000000004</v>
      </c>
      <c r="F230" s="120"/>
      <c r="G230" s="121"/>
      <c r="H230" s="122"/>
      <c r="I230" s="121"/>
      <c r="J230" s="121"/>
      <c r="K230" s="179">
        <f t="shared" ref="K230:K233" si="139">ROUND(H230+J230+I230,2)</f>
        <v>0</v>
      </c>
      <c r="L230" s="184">
        <f t="shared" ref="L230:L233" si="140">ROUND(E230*F230,2)</f>
        <v>0</v>
      </c>
      <c r="M230" s="121">
        <f t="shared" ref="M230:M233" si="141">ROUND(E230*H230,2)</f>
        <v>0</v>
      </c>
      <c r="N230" s="121">
        <f t="shared" ref="N230:N233" si="142">ROUND(E230*I230,2)</f>
        <v>0</v>
      </c>
      <c r="O230" s="121">
        <f t="shared" ref="O230:O233" si="143">ROUND(E230*J230,2)</f>
        <v>0</v>
      </c>
      <c r="P230" s="123">
        <f t="shared" ref="P230:P233" si="144">ROUND(O230+N230+M230,2)</f>
        <v>0</v>
      </c>
    </row>
    <row r="231" spans="1:16" ht="26.4" x14ac:dyDescent="0.2">
      <c r="A231" s="110">
        <v>6</v>
      </c>
      <c r="B231" s="106"/>
      <c r="C231" s="99" t="s">
        <v>408</v>
      </c>
      <c r="D231" s="106" t="s">
        <v>64</v>
      </c>
      <c r="E231" s="112">
        <f>ROUND(E229*5.5,0)</f>
        <v>12</v>
      </c>
      <c r="F231" s="120"/>
      <c r="G231" s="121"/>
      <c r="H231" s="122"/>
      <c r="I231" s="121"/>
      <c r="J231" s="121"/>
      <c r="K231" s="179">
        <f t="shared" si="139"/>
        <v>0</v>
      </c>
      <c r="L231" s="184">
        <f t="shared" si="140"/>
        <v>0</v>
      </c>
      <c r="M231" s="121">
        <f t="shared" si="141"/>
        <v>0</v>
      </c>
      <c r="N231" s="121">
        <f t="shared" si="142"/>
        <v>0</v>
      </c>
      <c r="O231" s="121">
        <f t="shared" si="143"/>
        <v>0</v>
      </c>
      <c r="P231" s="123">
        <f t="shared" si="144"/>
        <v>0</v>
      </c>
    </row>
    <row r="232" spans="1:16" ht="13.2" x14ac:dyDescent="0.2">
      <c r="A232" s="110">
        <v>7</v>
      </c>
      <c r="B232" s="106"/>
      <c r="C232" s="99" t="s">
        <v>121</v>
      </c>
      <c r="D232" s="106" t="s">
        <v>64</v>
      </c>
      <c r="E232" s="112">
        <f>E231</f>
        <v>12</v>
      </c>
      <c r="F232" s="120"/>
      <c r="G232" s="121"/>
      <c r="H232" s="122"/>
      <c r="I232" s="121"/>
      <c r="J232" s="121"/>
      <c r="K232" s="179">
        <f t="shared" si="139"/>
        <v>0</v>
      </c>
      <c r="L232" s="184">
        <f t="shared" si="140"/>
        <v>0</v>
      </c>
      <c r="M232" s="121">
        <f t="shared" si="141"/>
        <v>0</v>
      </c>
      <c r="N232" s="121">
        <f t="shared" si="142"/>
        <v>0</v>
      </c>
      <c r="O232" s="121">
        <f t="shared" si="143"/>
        <v>0</v>
      </c>
      <c r="P232" s="123">
        <f t="shared" si="144"/>
        <v>0</v>
      </c>
    </row>
    <row r="233" spans="1:16" ht="26.4" x14ac:dyDescent="0.2">
      <c r="A233" s="110">
        <v>8</v>
      </c>
      <c r="B233" s="106"/>
      <c r="C233" s="99" t="s">
        <v>401</v>
      </c>
      <c r="D233" s="106" t="s">
        <v>73</v>
      </c>
      <c r="E233" s="112">
        <f>E229*1.02</f>
        <v>2.2440000000000002</v>
      </c>
      <c r="F233" s="120"/>
      <c r="G233" s="121"/>
      <c r="H233" s="122"/>
      <c r="I233" s="121"/>
      <c r="J233" s="121"/>
      <c r="K233" s="179">
        <f t="shared" si="139"/>
        <v>0</v>
      </c>
      <c r="L233" s="184">
        <f t="shared" si="140"/>
        <v>0</v>
      </c>
      <c r="M233" s="121">
        <f t="shared" si="141"/>
        <v>0</v>
      </c>
      <c r="N233" s="121">
        <f t="shared" si="142"/>
        <v>0</v>
      </c>
      <c r="O233" s="121">
        <f t="shared" si="143"/>
        <v>0</v>
      </c>
      <c r="P233" s="123">
        <f t="shared" si="144"/>
        <v>0</v>
      </c>
    </row>
    <row r="234" spans="1:16" ht="39.6" x14ac:dyDescent="0.2">
      <c r="A234" s="163"/>
      <c r="B234" s="164"/>
      <c r="C234" s="165" t="s">
        <v>402</v>
      </c>
      <c r="D234" s="166"/>
      <c r="E234" s="167"/>
      <c r="F234" s="168"/>
      <c r="G234" s="169"/>
      <c r="H234" s="169"/>
      <c r="I234" s="169"/>
      <c r="J234" s="169"/>
      <c r="K234" s="192"/>
      <c r="L234" s="193"/>
      <c r="M234" s="169"/>
      <c r="N234" s="169"/>
      <c r="O234" s="169"/>
      <c r="P234" s="170"/>
    </row>
    <row r="235" spans="1:16" ht="13.2" x14ac:dyDescent="0.2">
      <c r="A235" s="163"/>
      <c r="B235" s="164"/>
      <c r="C235" s="165" t="s">
        <v>334</v>
      </c>
      <c r="D235" s="166"/>
      <c r="E235" s="167"/>
      <c r="F235" s="168"/>
      <c r="G235" s="169"/>
      <c r="H235" s="169"/>
      <c r="I235" s="169"/>
      <c r="J235" s="169"/>
      <c r="K235" s="192"/>
      <c r="L235" s="193"/>
      <c r="M235" s="169"/>
      <c r="N235" s="169"/>
      <c r="O235" s="169"/>
      <c r="P235" s="170"/>
    </row>
    <row r="236" spans="1:16" ht="13.2" x14ac:dyDescent="0.2">
      <c r="A236" s="110">
        <v>1</v>
      </c>
      <c r="B236" s="106" t="s">
        <v>60</v>
      </c>
      <c r="C236" s="100" t="s">
        <v>335</v>
      </c>
      <c r="D236" s="106" t="s">
        <v>73</v>
      </c>
      <c r="E236" s="112">
        <v>2.4</v>
      </c>
      <c r="F236" s="120"/>
      <c r="G236" s="121"/>
      <c r="H236" s="122">
        <f>ROUND(F236*G236,2)</f>
        <v>0</v>
      </c>
      <c r="I236" s="121"/>
      <c r="J236" s="121"/>
      <c r="K236" s="179">
        <f>ROUND(H236+J236+I236,2)</f>
        <v>0</v>
      </c>
      <c r="L236" s="184">
        <f>ROUND(E236*F236,2)</f>
        <v>0</v>
      </c>
      <c r="M236" s="121">
        <f>ROUND(E236*H236,2)</f>
        <v>0</v>
      </c>
      <c r="N236" s="121">
        <f>ROUND(E236*I236,2)</f>
        <v>0</v>
      </c>
      <c r="O236" s="121">
        <f>ROUND(E236*J236,2)</f>
        <v>0</v>
      </c>
      <c r="P236" s="123">
        <f>ROUND(O236+N236+M236,2)</f>
        <v>0</v>
      </c>
    </row>
    <row r="237" spans="1:16" ht="13.2" x14ac:dyDescent="0.2">
      <c r="A237" s="110">
        <v>2</v>
      </c>
      <c r="B237" s="106" t="s">
        <v>60</v>
      </c>
      <c r="C237" s="100" t="s">
        <v>336</v>
      </c>
      <c r="D237" s="106" t="s">
        <v>62</v>
      </c>
      <c r="E237" s="112">
        <v>2.7</v>
      </c>
      <c r="F237" s="120"/>
      <c r="G237" s="121"/>
      <c r="H237" s="122">
        <f t="shared" si="138"/>
        <v>0</v>
      </c>
      <c r="I237" s="121"/>
      <c r="J237" s="121"/>
      <c r="K237" s="179">
        <f t="shared" si="61"/>
        <v>0</v>
      </c>
      <c r="L237" s="184">
        <f t="shared" si="62"/>
        <v>0</v>
      </c>
      <c r="M237" s="121">
        <f t="shared" si="63"/>
        <v>0</v>
      </c>
      <c r="N237" s="121">
        <f t="shared" si="64"/>
        <v>0</v>
      </c>
      <c r="O237" s="121">
        <f t="shared" si="65"/>
        <v>0</v>
      </c>
      <c r="P237" s="123">
        <f t="shared" si="66"/>
        <v>0</v>
      </c>
    </row>
    <row r="238" spans="1:16" ht="13.2" x14ac:dyDescent="0.2">
      <c r="A238" s="110">
        <v>3</v>
      </c>
      <c r="B238" s="106" t="s">
        <v>60</v>
      </c>
      <c r="C238" s="100" t="s">
        <v>337</v>
      </c>
      <c r="D238" s="106" t="s">
        <v>62</v>
      </c>
      <c r="E238" s="112">
        <v>3.3</v>
      </c>
      <c r="F238" s="120"/>
      <c r="G238" s="121"/>
      <c r="H238" s="122">
        <f>ROUND(F238*G238,2)</f>
        <v>0</v>
      </c>
      <c r="I238" s="121"/>
      <c r="J238" s="121"/>
      <c r="K238" s="179">
        <f t="shared" si="61"/>
        <v>0</v>
      </c>
      <c r="L238" s="184">
        <f t="shared" si="62"/>
        <v>0</v>
      </c>
      <c r="M238" s="121">
        <f t="shared" si="63"/>
        <v>0</v>
      </c>
      <c r="N238" s="121">
        <f t="shared" si="64"/>
        <v>0</v>
      </c>
      <c r="O238" s="121">
        <f t="shared" si="65"/>
        <v>0</v>
      </c>
      <c r="P238" s="123">
        <f t="shared" si="66"/>
        <v>0</v>
      </c>
    </row>
    <row r="239" spans="1:16" ht="13.2" x14ac:dyDescent="0.2">
      <c r="A239" s="110">
        <v>4</v>
      </c>
      <c r="B239" s="106" t="s">
        <v>60</v>
      </c>
      <c r="C239" s="111" t="s">
        <v>338</v>
      </c>
      <c r="D239" s="106" t="s">
        <v>73</v>
      </c>
      <c r="E239" s="112">
        <v>2.4</v>
      </c>
      <c r="F239" s="120"/>
      <c r="G239" s="121"/>
      <c r="H239" s="122">
        <f>ROUND(F239*G239,2)</f>
        <v>0</v>
      </c>
      <c r="I239" s="121"/>
      <c r="J239" s="121"/>
      <c r="K239" s="179">
        <f t="shared" si="61"/>
        <v>0</v>
      </c>
      <c r="L239" s="184">
        <f t="shared" si="62"/>
        <v>0</v>
      </c>
      <c r="M239" s="121">
        <f t="shared" si="63"/>
        <v>0</v>
      </c>
      <c r="N239" s="121">
        <f t="shared" si="64"/>
        <v>0</v>
      </c>
      <c r="O239" s="121">
        <f t="shared" si="65"/>
        <v>0</v>
      </c>
      <c r="P239" s="123">
        <f t="shared" si="66"/>
        <v>0</v>
      </c>
    </row>
    <row r="240" spans="1:16" ht="13.2" x14ac:dyDescent="0.2">
      <c r="A240" s="110">
        <v>5</v>
      </c>
      <c r="B240" s="106"/>
      <c r="C240" s="99" t="s">
        <v>292</v>
      </c>
      <c r="D240" s="106" t="s">
        <v>96</v>
      </c>
      <c r="E240" s="112">
        <f>E239*0.17*2</f>
        <v>0.81600000000000006</v>
      </c>
      <c r="F240" s="120"/>
      <c r="G240" s="121"/>
      <c r="H240" s="122"/>
      <c r="I240" s="121"/>
      <c r="J240" s="121"/>
      <c r="K240" s="179">
        <f t="shared" si="61"/>
        <v>0</v>
      </c>
      <c r="L240" s="184">
        <f t="shared" si="62"/>
        <v>0</v>
      </c>
      <c r="M240" s="121">
        <f t="shared" si="63"/>
        <v>0</v>
      </c>
      <c r="N240" s="121">
        <f t="shared" si="64"/>
        <v>0</v>
      </c>
      <c r="O240" s="121">
        <f t="shared" si="65"/>
        <v>0</v>
      </c>
      <c r="P240" s="123">
        <f t="shared" si="66"/>
        <v>0</v>
      </c>
    </row>
    <row r="241" spans="1:16" ht="13.2" x14ac:dyDescent="0.2">
      <c r="A241" s="110">
        <v>6</v>
      </c>
      <c r="B241" s="106"/>
      <c r="C241" s="99" t="s">
        <v>478</v>
      </c>
      <c r="D241" s="106" t="s">
        <v>99</v>
      </c>
      <c r="E241" s="112">
        <f>E239*40*1.1</f>
        <v>105.60000000000001</v>
      </c>
      <c r="F241" s="120"/>
      <c r="G241" s="121"/>
      <c r="H241" s="122"/>
      <c r="I241" s="121"/>
      <c r="J241" s="121"/>
      <c r="K241" s="179">
        <f t="shared" si="61"/>
        <v>0</v>
      </c>
      <c r="L241" s="184">
        <f t="shared" si="62"/>
        <v>0</v>
      </c>
      <c r="M241" s="121">
        <f t="shared" si="63"/>
        <v>0</v>
      </c>
      <c r="N241" s="121">
        <f t="shared" si="64"/>
        <v>0</v>
      </c>
      <c r="O241" s="121">
        <f t="shared" si="65"/>
        <v>0</v>
      </c>
      <c r="P241" s="123">
        <f t="shared" si="66"/>
        <v>0</v>
      </c>
    </row>
    <row r="242" spans="1:16" ht="13.2" x14ac:dyDescent="0.2">
      <c r="A242" s="110">
        <v>7</v>
      </c>
      <c r="B242" s="106" t="s">
        <v>60</v>
      </c>
      <c r="C242" s="111" t="s">
        <v>339</v>
      </c>
      <c r="D242" s="106" t="s">
        <v>62</v>
      </c>
      <c r="E242" s="112">
        <v>1.6</v>
      </c>
      <c r="F242" s="120"/>
      <c r="G242" s="121"/>
      <c r="H242" s="122">
        <f>ROUND(F242*G242,2)</f>
        <v>0</v>
      </c>
      <c r="I242" s="121"/>
      <c r="J242" s="121"/>
      <c r="K242" s="179">
        <f t="shared" si="61"/>
        <v>0</v>
      </c>
      <c r="L242" s="184">
        <f t="shared" si="62"/>
        <v>0</v>
      </c>
      <c r="M242" s="121">
        <f t="shared" si="63"/>
        <v>0</v>
      </c>
      <c r="N242" s="121">
        <f t="shared" si="64"/>
        <v>0</v>
      </c>
      <c r="O242" s="121">
        <f t="shared" si="65"/>
        <v>0</v>
      </c>
      <c r="P242" s="123">
        <f t="shared" si="66"/>
        <v>0</v>
      </c>
    </row>
    <row r="243" spans="1:16" ht="13.2" x14ac:dyDescent="0.2">
      <c r="A243" s="110">
        <v>8</v>
      </c>
      <c r="B243" s="106" t="s">
        <v>60</v>
      </c>
      <c r="C243" s="100" t="s">
        <v>124</v>
      </c>
      <c r="D243" s="106" t="s">
        <v>73</v>
      </c>
      <c r="E243" s="112">
        <v>0.4</v>
      </c>
      <c r="F243" s="120"/>
      <c r="G243" s="121"/>
      <c r="H243" s="122">
        <f t="shared" ref="H243" si="145">ROUND(F243*G243,2)</f>
        <v>0</v>
      </c>
      <c r="I243" s="121"/>
      <c r="J243" s="121"/>
      <c r="K243" s="179">
        <f>ROUND(H243+J243+I243,2)</f>
        <v>0</v>
      </c>
      <c r="L243" s="184">
        <f>ROUND(E243*F243,2)</f>
        <v>0</v>
      </c>
      <c r="M243" s="121">
        <f>ROUND(E243*H243,2)</f>
        <v>0</v>
      </c>
      <c r="N243" s="121">
        <f>ROUND(E243*I243,2)</f>
        <v>0</v>
      </c>
      <c r="O243" s="121">
        <f>ROUND(E243*J243,2)</f>
        <v>0</v>
      </c>
      <c r="P243" s="123">
        <f>ROUND(O243+N243+M243,2)</f>
        <v>0</v>
      </c>
    </row>
    <row r="244" spans="1:16" ht="13.2" x14ac:dyDescent="0.2">
      <c r="A244" s="110">
        <v>9</v>
      </c>
      <c r="B244" s="106"/>
      <c r="C244" s="99" t="s">
        <v>125</v>
      </c>
      <c r="D244" s="106" t="s">
        <v>126</v>
      </c>
      <c r="E244" s="112">
        <f>ROUND(E243/4,2)</f>
        <v>0.1</v>
      </c>
      <c r="F244" s="120"/>
      <c r="G244" s="121"/>
      <c r="H244" s="122"/>
      <c r="I244" s="121"/>
      <c r="J244" s="121"/>
      <c r="K244" s="179">
        <f t="shared" ref="K244:K251" si="146">ROUND(H244+J244+I244,2)</f>
        <v>0</v>
      </c>
      <c r="L244" s="184">
        <f t="shared" ref="L244:L251" si="147">ROUND(E244*F244,2)</f>
        <v>0</v>
      </c>
      <c r="M244" s="121">
        <f t="shared" ref="M244:M251" si="148">ROUND(E244*H244,2)</f>
        <v>0</v>
      </c>
      <c r="N244" s="121">
        <f t="shared" ref="N244:N251" si="149">ROUND(E244*I244,2)</f>
        <v>0</v>
      </c>
      <c r="O244" s="121">
        <f t="shared" ref="O244:O251" si="150">ROUND(E244*J244,2)</f>
        <v>0</v>
      </c>
      <c r="P244" s="123">
        <f t="shared" ref="P244:P251" si="151">ROUND(O244+N244+M244,2)</f>
        <v>0</v>
      </c>
    </row>
    <row r="245" spans="1:16" ht="26.4" x14ac:dyDescent="0.2">
      <c r="A245" s="110">
        <v>10</v>
      </c>
      <c r="B245" s="106"/>
      <c r="C245" s="99" t="s">
        <v>408</v>
      </c>
      <c r="D245" s="106" t="s">
        <v>64</v>
      </c>
      <c r="E245" s="112">
        <f>ROUND(E243*5.5,0)</f>
        <v>2</v>
      </c>
      <c r="F245" s="120"/>
      <c r="G245" s="121"/>
      <c r="H245" s="122"/>
      <c r="I245" s="121"/>
      <c r="J245" s="121"/>
      <c r="K245" s="179">
        <f t="shared" si="146"/>
        <v>0</v>
      </c>
      <c r="L245" s="184">
        <f t="shared" si="147"/>
        <v>0</v>
      </c>
      <c r="M245" s="121">
        <f t="shared" si="148"/>
        <v>0</v>
      </c>
      <c r="N245" s="121">
        <f t="shared" si="149"/>
        <v>0</v>
      </c>
      <c r="O245" s="121">
        <f t="shared" si="150"/>
        <v>0</v>
      </c>
      <c r="P245" s="123">
        <f t="shared" si="151"/>
        <v>0</v>
      </c>
    </row>
    <row r="246" spans="1:16" ht="13.2" x14ac:dyDescent="0.2">
      <c r="A246" s="110">
        <v>11</v>
      </c>
      <c r="B246" s="106"/>
      <c r="C246" s="99" t="s">
        <v>121</v>
      </c>
      <c r="D246" s="106" t="s">
        <v>64</v>
      </c>
      <c r="E246" s="112">
        <f>E245</f>
        <v>2</v>
      </c>
      <c r="F246" s="120"/>
      <c r="G246" s="121"/>
      <c r="H246" s="122"/>
      <c r="I246" s="121"/>
      <c r="J246" s="121"/>
      <c r="K246" s="179">
        <f t="shared" si="146"/>
        <v>0</v>
      </c>
      <c r="L246" s="184">
        <f t="shared" si="147"/>
        <v>0</v>
      </c>
      <c r="M246" s="121">
        <f t="shared" si="148"/>
        <v>0</v>
      </c>
      <c r="N246" s="121">
        <f t="shared" si="149"/>
        <v>0</v>
      </c>
      <c r="O246" s="121">
        <f t="shared" si="150"/>
        <v>0</v>
      </c>
      <c r="P246" s="123">
        <f t="shared" si="151"/>
        <v>0</v>
      </c>
    </row>
    <row r="247" spans="1:16" ht="26.4" x14ac:dyDescent="0.2">
      <c r="A247" s="110">
        <v>12</v>
      </c>
      <c r="B247" s="106"/>
      <c r="C247" s="99" t="s">
        <v>375</v>
      </c>
      <c r="D247" s="106" t="s">
        <v>73</v>
      </c>
      <c r="E247" s="112">
        <f>E243*1.02</f>
        <v>0.40800000000000003</v>
      </c>
      <c r="F247" s="120"/>
      <c r="G247" s="121"/>
      <c r="H247" s="122"/>
      <c r="I247" s="121"/>
      <c r="J247" s="121"/>
      <c r="K247" s="179">
        <f t="shared" si="146"/>
        <v>0</v>
      </c>
      <c r="L247" s="184">
        <f t="shared" si="147"/>
        <v>0</v>
      </c>
      <c r="M247" s="121">
        <f t="shared" si="148"/>
        <v>0</v>
      </c>
      <c r="N247" s="121">
        <f t="shared" si="149"/>
        <v>0</v>
      </c>
      <c r="O247" s="121">
        <f t="shared" si="150"/>
        <v>0</v>
      </c>
      <c r="P247" s="123">
        <f t="shared" si="151"/>
        <v>0</v>
      </c>
    </row>
    <row r="248" spans="1:16" ht="26.4" x14ac:dyDescent="0.2">
      <c r="A248" s="110">
        <v>13</v>
      </c>
      <c r="B248" s="106" t="s">
        <v>60</v>
      </c>
      <c r="C248" s="111" t="s">
        <v>340</v>
      </c>
      <c r="D248" s="106" t="s">
        <v>73</v>
      </c>
      <c r="E248" s="112">
        <v>2.4</v>
      </c>
      <c r="F248" s="120"/>
      <c r="G248" s="121"/>
      <c r="H248" s="122">
        <f>ROUND(F248*G248,2)</f>
        <v>0</v>
      </c>
      <c r="I248" s="121"/>
      <c r="J248" s="121"/>
      <c r="K248" s="179">
        <f t="shared" si="146"/>
        <v>0</v>
      </c>
      <c r="L248" s="184">
        <f t="shared" si="147"/>
        <v>0</v>
      </c>
      <c r="M248" s="121">
        <f t="shared" si="148"/>
        <v>0</v>
      </c>
      <c r="N248" s="121">
        <f t="shared" si="149"/>
        <v>0</v>
      </c>
      <c r="O248" s="121">
        <f t="shared" si="150"/>
        <v>0</v>
      </c>
      <c r="P248" s="123">
        <f t="shared" si="151"/>
        <v>0</v>
      </c>
    </row>
    <row r="249" spans="1:16" ht="26.4" x14ac:dyDescent="0.2">
      <c r="A249" s="110">
        <v>14</v>
      </c>
      <c r="B249" s="106"/>
      <c r="C249" s="99" t="s">
        <v>374</v>
      </c>
      <c r="D249" s="106" t="s">
        <v>73</v>
      </c>
      <c r="E249" s="112">
        <f>E248*1.2</f>
        <v>2.88</v>
      </c>
      <c r="F249" s="120"/>
      <c r="G249" s="121"/>
      <c r="H249" s="122"/>
      <c r="I249" s="121"/>
      <c r="J249" s="121"/>
      <c r="K249" s="179">
        <f t="shared" si="146"/>
        <v>0</v>
      </c>
      <c r="L249" s="184">
        <f t="shared" si="147"/>
        <v>0</v>
      </c>
      <c r="M249" s="121">
        <f t="shared" si="148"/>
        <v>0</v>
      </c>
      <c r="N249" s="121">
        <f t="shared" si="149"/>
        <v>0</v>
      </c>
      <c r="O249" s="121">
        <f t="shared" si="150"/>
        <v>0</v>
      </c>
      <c r="P249" s="123">
        <f t="shared" si="151"/>
        <v>0</v>
      </c>
    </row>
    <row r="250" spans="1:16" ht="13.2" x14ac:dyDescent="0.2">
      <c r="A250" s="110">
        <v>15</v>
      </c>
      <c r="B250" s="106"/>
      <c r="C250" s="99" t="s">
        <v>341</v>
      </c>
      <c r="D250" s="106" t="s">
        <v>99</v>
      </c>
      <c r="E250" s="112">
        <f>E248*0.3</f>
        <v>0.72</v>
      </c>
      <c r="F250" s="120"/>
      <c r="G250" s="121"/>
      <c r="H250" s="122"/>
      <c r="I250" s="121"/>
      <c r="J250" s="121"/>
      <c r="K250" s="179">
        <f t="shared" si="146"/>
        <v>0</v>
      </c>
      <c r="L250" s="184">
        <f t="shared" si="147"/>
        <v>0</v>
      </c>
      <c r="M250" s="121">
        <f t="shared" si="148"/>
        <v>0</v>
      </c>
      <c r="N250" s="121">
        <f t="shared" si="149"/>
        <v>0</v>
      </c>
      <c r="O250" s="121">
        <f t="shared" si="150"/>
        <v>0</v>
      </c>
      <c r="P250" s="123">
        <f t="shared" si="151"/>
        <v>0</v>
      </c>
    </row>
    <row r="251" spans="1:16" ht="13.2" x14ac:dyDescent="0.2">
      <c r="A251" s="110">
        <v>16</v>
      </c>
      <c r="B251" s="106"/>
      <c r="C251" s="99" t="s">
        <v>342</v>
      </c>
      <c r="D251" s="106" t="s">
        <v>343</v>
      </c>
      <c r="E251" s="154">
        <f>E248/50</f>
        <v>4.8000000000000001E-2</v>
      </c>
      <c r="F251" s="120"/>
      <c r="G251" s="121"/>
      <c r="H251" s="122"/>
      <c r="I251" s="121"/>
      <c r="J251" s="121"/>
      <c r="K251" s="179">
        <f t="shared" si="146"/>
        <v>0</v>
      </c>
      <c r="L251" s="184">
        <f t="shared" si="147"/>
        <v>0</v>
      </c>
      <c r="M251" s="121">
        <f t="shared" si="148"/>
        <v>0</v>
      </c>
      <c r="N251" s="121">
        <f t="shared" si="149"/>
        <v>0</v>
      </c>
      <c r="O251" s="121">
        <f t="shared" si="150"/>
        <v>0</v>
      </c>
      <c r="P251" s="123">
        <f t="shared" si="151"/>
        <v>0</v>
      </c>
    </row>
    <row r="252" spans="1:16" ht="13.2" x14ac:dyDescent="0.2">
      <c r="A252" s="163"/>
      <c r="B252" s="164"/>
      <c r="C252" s="165" t="s">
        <v>344</v>
      </c>
      <c r="D252" s="166"/>
      <c r="E252" s="167"/>
      <c r="F252" s="168"/>
      <c r="G252" s="169"/>
      <c r="H252" s="169"/>
      <c r="I252" s="169"/>
      <c r="J252" s="169"/>
      <c r="K252" s="192"/>
      <c r="L252" s="193"/>
      <c r="M252" s="169"/>
      <c r="N252" s="169"/>
      <c r="O252" s="169"/>
      <c r="P252" s="170"/>
    </row>
    <row r="253" spans="1:16" ht="26.4" x14ac:dyDescent="0.2">
      <c r="A253" s="110">
        <v>1</v>
      </c>
      <c r="B253" s="106" t="s">
        <v>60</v>
      </c>
      <c r="C253" s="100" t="s">
        <v>345</v>
      </c>
      <c r="D253" s="106" t="s">
        <v>73</v>
      </c>
      <c r="E253" s="112">
        <v>4.4800000000000004</v>
      </c>
      <c r="F253" s="120"/>
      <c r="G253" s="121"/>
      <c r="H253" s="122">
        <f t="shared" ref="H253:H255" si="152">ROUND(F253*G253,2)</f>
        <v>0</v>
      </c>
      <c r="I253" s="121"/>
      <c r="J253" s="121"/>
      <c r="K253" s="179">
        <f t="shared" si="61"/>
        <v>0</v>
      </c>
      <c r="L253" s="184">
        <f t="shared" si="62"/>
        <v>0</v>
      </c>
      <c r="M253" s="121">
        <f t="shared" si="63"/>
        <v>0</v>
      </c>
      <c r="N253" s="121">
        <f t="shared" si="64"/>
        <v>0</v>
      </c>
      <c r="O253" s="121">
        <f t="shared" si="65"/>
        <v>0</v>
      </c>
      <c r="P253" s="123">
        <f t="shared" si="66"/>
        <v>0</v>
      </c>
    </row>
    <row r="254" spans="1:16" ht="13.2" x14ac:dyDescent="0.2">
      <c r="A254" s="110">
        <v>2</v>
      </c>
      <c r="B254" s="106" t="s">
        <v>60</v>
      </c>
      <c r="C254" s="100" t="s">
        <v>346</v>
      </c>
      <c r="D254" s="106" t="s">
        <v>73</v>
      </c>
      <c r="E254" s="112">
        <v>4.4800000000000004</v>
      </c>
      <c r="F254" s="120"/>
      <c r="G254" s="121"/>
      <c r="H254" s="122">
        <f t="shared" si="152"/>
        <v>0</v>
      </c>
      <c r="I254" s="121"/>
      <c r="J254" s="121"/>
      <c r="K254" s="179">
        <f t="shared" si="61"/>
        <v>0</v>
      </c>
      <c r="L254" s="184">
        <f t="shared" si="62"/>
        <v>0</v>
      </c>
      <c r="M254" s="121">
        <f t="shared" si="63"/>
        <v>0</v>
      </c>
      <c r="N254" s="121">
        <f t="shared" si="64"/>
        <v>0</v>
      </c>
      <c r="O254" s="121">
        <f t="shared" si="65"/>
        <v>0</v>
      </c>
      <c r="P254" s="123">
        <f t="shared" si="66"/>
        <v>0</v>
      </c>
    </row>
    <row r="255" spans="1:16" ht="13.2" x14ac:dyDescent="0.2">
      <c r="A255" s="110">
        <v>3</v>
      </c>
      <c r="B255" s="106" t="s">
        <v>60</v>
      </c>
      <c r="C255" s="100" t="s">
        <v>347</v>
      </c>
      <c r="D255" s="106" t="s">
        <v>73</v>
      </c>
      <c r="E255" s="112">
        <v>4.4800000000000004</v>
      </c>
      <c r="F255" s="120"/>
      <c r="G255" s="121"/>
      <c r="H255" s="122">
        <f t="shared" si="152"/>
        <v>0</v>
      </c>
      <c r="I255" s="121"/>
      <c r="J255" s="121"/>
      <c r="K255" s="179">
        <f t="shared" si="61"/>
        <v>0</v>
      </c>
      <c r="L255" s="184">
        <f t="shared" si="62"/>
        <v>0</v>
      </c>
      <c r="M255" s="121">
        <f t="shared" si="63"/>
        <v>0</v>
      </c>
      <c r="N255" s="121">
        <f t="shared" si="64"/>
        <v>0</v>
      </c>
      <c r="O255" s="121">
        <f t="shared" si="65"/>
        <v>0</v>
      </c>
      <c r="P255" s="123">
        <f t="shared" si="66"/>
        <v>0</v>
      </c>
    </row>
    <row r="256" spans="1:16" ht="39.6" x14ac:dyDescent="0.2">
      <c r="A256" s="163"/>
      <c r="B256" s="164"/>
      <c r="C256" s="165" t="s">
        <v>403</v>
      </c>
      <c r="D256" s="166"/>
      <c r="E256" s="167"/>
      <c r="F256" s="168"/>
      <c r="G256" s="169"/>
      <c r="H256" s="169"/>
      <c r="I256" s="169"/>
      <c r="J256" s="169"/>
      <c r="K256" s="192"/>
      <c r="L256" s="193"/>
      <c r="M256" s="169"/>
      <c r="N256" s="169"/>
      <c r="O256" s="169"/>
      <c r="P256" s="170"/>
    </row>
    <row r="257" spans="1:16" ht="13.2" x14ac:dyDescent="0.2">
      <c r="A257" s="163"/>
      <c r="B257" s="164"/>
      <c r="C257" s="165" t="s">
        <v>348</v>
      </c>
      <c r="D257" s="166"/>
      <c r="E257" s="167"/>
      <c r="F257" s="168"/>
      <c r="G257" s="169"/>
      <c r="H257" s="169"/>
      <c r="I257" s="169"/>
      <c r="J257" s="169"/>
      <c r="K257" s="192"/>
      <c r="L257" s="193"/>
      <c r="M257" s="169"/>
      <c r="N257" s="169"/>
      <c r="O257" s="169"/>
      <c r="P257" s="170"/>
    </row>
    <row r="258" spans="1:16" ht="26.4" x14ac:dyDescent="0.2">
      <c r="A258" s="110">
        <v>1</v>
      </c>
      <c r="B258" s="106" t="s">
        <v>60</v>
      </c>
      <c r="C258" s="100" t="s">
        <v>107</v>
      </c>
      <c r="D258" s="106" t="s">
        <v>73</v>
      </c>
      <c r="E258" s="151">
        <v>4.9000000000000004</v>
      </c>
      <c r="F258" s="120"/>
      <c r="G258" s="121"/>
      <c r="H258" s="122">
        <f>ROUND(F258*G258,2)</f>
        <v>0</v>
      </c>
      <c r="I258" s="121"/>
      <c r="J258" s="121"/>
      <c r="K258" s="179">
        <f>ROUND(H258+J258+I258,2)</f>
        <v>0</v>
      </c>
      <c r="L258" s="184">
        <f>ROUND(E258*F258,2)</f>
        <v>0</v>
      </c>
      <c r="M258" s="121">
        <f>ROUND(E258*H258,2)</f>
        <v>0</v>
      </c>
      <c r="N258" s="121">
        <f>ROUND(E258*I258,2)</f>
        <v>0</v>
      </c>
      <c r="O258" s="121">
        <f>ROUND(E258*J258,2)</f>
        <v>0</v>
      </c>
      <c r="P258" s="123">
        <f>ROUND(O258+N258+M258,2)</f>
        <v>0</v>
      </c>
    </row>
    <row r="259" spans="1:16" ht="13.2" x14ac:dyDescent="0.2">
      <c r="A259" s="110">
        <v>2</v>
      </c>
      <c r="B259" s="106"/>
      <c r="C259" s="99" t="s">
        <v>98</v>
      </c>
      <c r="D259" s="106" t="s">
        <v>96</v>
      </c>
      <c r="E259" s="112">
        <f>E258*0.12</f>
        <v>0.58799999999999997</v>
      </c>
      <c r="F259" s="120"/>
      <c r="G259" s="121"/>
      <c r="H259" s="122"/>
      <c r="I259" s="121"/>
      <c r="J259" s="121"/>
      <c r="K259" s="179">
        <f t="shared" ref="K259:K275" si="153">ROUND(H259+J259+I259,2)</f>
        <v>0</v>
      </c>
      <c r="L259" s="184">
        <f t="shared" ref="L259:L275" si="154">ROUND(E259*F259,2)</f>
        <v>0</v>
      </c>
      <c r="M259" s="121">
        <f t="shared" ref="M259:M275" si="155">ROUND(E259*H259,2)</f>
        <v>0</v>
      </c>
      <c r="N259" s="121">
        <f t="shared" ref="N259:N275" si="156">ROUND(E259*I259,2)</f>
        <v>0</v>
      </c>
      <c r="O259" s="121">
        <f t="shared" ref="O259:O275" si="157">ROUND(E259*J259,2)</f>
        <v>0</v>
      </c>
      <c r="P259" s="123">
        <f t="shared" ref="P259:P275" si="158">ROUND(O259+N259+M259,2)</f>
        <v>0</v>
      </c>
    </row>
    <row r="260" spans="1:16" ht="26.4" x14ac:dyDescent="0.2">
      <c r="A260" s="110">
        <v>3</v>
      </c>
      <c r="B260" s="106"/>
      <c r="C260" s="99" t="s">
        <v>392</v>
      </c>
      <c r="D260" s="106" t="s">
        <v>109</v>
      </c>
      <c r="E260" s="152">
        <f>E258*5</f>
        <v>24.5</v>
      </c>
      <c r="F260" s="120"/>
      <c r="G260" s="121"/>
      <c r="H260" s="122"/>
      <c r="I260" s="121"/>
      <c r="J260" s="121"/>
      <c r="K260" s="179">
        <f t="shared" si="153"/>
        <v>0</v>
      </c>
      <c r="L260" s="184">
        <f t="shared" si="154"/>
        <v>0</v>
      </c>
      <c r="M260" s="121">
        <f t="shared" si="155"/>
        <v>0</v>
      </c>
      <c r="N260" s="121">
        <f t="shared" si="156"/>
        <v>0</v>
      </c>
      <c r="O260" s="121">
        <f t="shared" si="157"/>
        <v>0</v>
      </c>
      <c r="P260" s="123">
        <f t="shared" si="158"/>
        <v>0</v>
      </c>
    </row>
    <row r="261" spans="1:16" ht="13.2" x14ac:dyDescent="0.2">
      <c r="A261" s="110">
        <v>4</v>
      </c>
      <c r="B261" s="106" t="s">
        <v>60</v>
      </c>
      <c r="C261" s="100" t="s">
        <v>102</v>
      </c>
      <c r="D261" s="106" t="s">
        <v>73</v>
      </c>
      <c r="E261" s="112">
        <f>E258</f>
        <v>4.9000000000000004</v>
      </c>
      <c r="F261" s="120"/>
      <c r="G261" s="121"/>
      <c r="H261" s="122">
        <f t="shared" ref="H261:H273" si="159">ROUND(F261*G261,2)</f>
        <v>0</v>
      </c>
      <c r="I261" s="121"/>
      <c r="J261" s="121"/>
      <c r="K261" s="179">
        <f>ROUND(H261+J261+I261,2)</f>
        <v>0</v>
      </c>
      <c r="L261" s="184">
        <f>ROUND(E261*F261,2)</f>
        <v>0</v>
      </c>
      <c r="M261" s="121">
        <f>ROUND(E261*H261,2)</f>
        <v>0</v>
      </c>
      <c r="N261" s="121">
        <f>ROUND(E261*I261,2)</f>
        <v>0</v>
      </c>
      <c r="O261" s="121">
        <f>ROUND(E261*J261,2)</f>
        <v>0</v>
      </c>
      <c r="P261" s="123">
        <f>ROUND(O261+N261+M261,2)</f>
        <v>0</v>
      </c>
    </row>
    <row r="262" spans="1:16" ht="13.2" x14ac:dyDescent="0.2">
      <c r="A262" s="110">
        <v>5</v>
      </c>
      <c r="B262" s="106"/>
      <c r="C262" s="99" t="s">
        <v>98</v>
      </c>
      <c r="D262" s="106" t="s">
        <v>96</v>
      </c>
      <c r="E262" s="112">
        <f>E261*0.12</f>
        <v>0.58799999999999997</v>
      </c>
      <c r="F262" s="120"/>
      <c r="G262" s="121"/>
      <c r="H262" s="122"/>
      <c r="I262" s="121"/>
      <c r="J262" s="121"/>
      <c r="K262" s="179">
        <f t="shared" ref="K262:K265" si="160">ROUND(H262+J262+I262,2)</f>
        <v>0</v>
      </c>
      <c r="L262" s="184">
        <f t="shared" ref="L262:L265" si="161">ROUND(E262*F262,2)</f>
        <v>0</v>
      </c>
      <c r="M262" s="121">
        <f t="shared" ref="M262:M265" si="162">ROUND(E262*H262,2)</f>
        <v>0</v>
      </c>
      <c r="N262" s="121">
        <f t="shared" ref="N262:N265" si="163">ROUND(E262*I262,2)</f>
        <v>0</v>
      </c>
      <c r="O262" s="121">
        <f t="shared" ref="O262:O265" si="164">ROUND(E262*J262,2)</f>
        <v>0</v>
      </c>
      <c r="P262" s="123">
        <f t="shared" ref="P262:P265" si="165">ROUND(O262+N262+M262,2)</f>
        <v>0</v>
      </c>
    </row>
    <row r="263" spans="1:16" ht="13.2" x14ac:dyDescent="0.2">
      <c r="A263" s="110">
        <v>6</v>
      </c>
      <c r="B263" s="106"/>
      <c r="C263" s="99" t="s">
        <v>114</v>
      </c>
      <c r="D263" s="106" t="s">
        <v>99</v>
      </c>
      <c r="E263" s="152">
        <f>E261*5</f>
        <v>24.5</v>
      </c>
      <c r="F263" s="120"/>
      <c r="G263" s="121"/>
      <c r="H263" s="122"/>
      <c r="I263" s="121"/>
      <c r="J263" s="121"/>
      <c r="K263" s="179">
        <f t="shared" si="160"/>
        <v>0</v>
      </c>
      <c r="L263" s="184">
        <f t="shared" si="161"/>
        <v>0</v>
      </c>
      <c r="M263" s="121">
        <f t="shared" si="162"/>
        <v>0</v>
      </c>
      <c r="N263" s="121">
        <f t="shared" si="163"/>
        <v>0</v>
      </c>
      <c r="O263" s="121">
        <f t="shared" si="164"/>
        <v>0</v>
      </c>
      <c r="P263" s="123">
        <f t="shared" si="165"/>
        <v>0</v>
      </c>
    </row>
    <row r="264" spans="1:16" ht="26.4" x14ac:dyDescent="0.2">
      <c r="A264" s="110">
        <v>7</v>
      </c>
      <c r="B264" s="106"/>
      <c r="C264" s="99" t="s">
        <v>409</v>
      </c>
      <c r="D264" s="106" t="s">
        <v>64</v>
      </c>
      <c r="E264" s="152">
        <f>ROUND(E258*8.15,0)</f>
        <v>40</v>
      </c>
      <c r="F264" s="120"/>
      <c r="G264" s="121"/>
      <c r="H264" s="122"/>
      <c r="I264" s="121"/>
      <c r="J264" s="121"/>
      <c r="K264" s="179">
        <f t="shared" si="160"/>
        <v>0</v>
      </c>
      <c r="L264" s="184">
        <f t="shared" si="161"/>
        <v>0</v>
      </c>
      <c r="M264" s="121">
        <f t="shared" si="162"/>
        <v>0</v>
      </c>
      <c r="N264" s="121">
        <f t="shared" si="163"/>
        <v>0</v>
      </c>
      <c r="O264" s="121">
        <f t="shared" si="164"/>
        <v>0</v>
      </c>
      <c r="P264" s="123">
        <f t="shared" si="165"/>
        <v>0</v>
      </c>
    </row>
    <row r="265" spans="1:16" ht="13.2" x14ac:dyDescent="0.2">
      <c r="A265" s="110">
        <v>8</v>
      </c>
      <c r="B265" s="106"/>
      <c r="C265" s="99" t="s">
        <v>110</v>
      </c>
      <c r="D265" s="106" t="s">
        <v>64</v>
      </c>
      <c r="E265" s="112">
        <f>E264</f>
        <v>40</v>
      </c>
      <c r="F265" s="120"/>
      <c r="G265" s="121"/>
      <c r="H265" s="122"/>
      <c r="I265" s="121"/>
      <c r="J265" s="121"/>
      <c r="K265" s="179">
        <f t="shared" si="160"/>
        <v>0</v>
      </c>
      <c r="L265" s="184">
        <f t="shared" si="161"/>
        <v>0</v>
      </c>
      <c r="M265" s="121">
        <f t="shared" si="162"/>
        <v>0</v>
      </c>
      <c r="N265" s="121">
        <f t="shared" si="163"/>
        <v>0</v>
      </c>
      <c r="O265" s="121">
        <f t="shared" si="164"/>
        <v>0</v>
      </c>
      <c r="P265" s="123">
        <f t="shared" si="165"/>
        <v>0</v>
      </c>
    </row>
    <row r="266" spans="1:16" ht="39.6" x14ac:dyDescent="0.2">
      <c r="A266" s="110">
        <v>9</v>
      </c>
      <c r="B266" s="106"/>
      <c r="C266" s="99" t="s">
        <v>286</v>
      </c>
      <c r="D266" s="106" t="s">
        <v>73</v>
      </c>
      <c r="E266" s="112">
        <f>4.64*1.05</f>
        <v>4.8719999999999999</v>
      </c>
      <c r="F266" s="120"/>
      <c r="G266" s="121"/>
      <c r="H266" s="122"/>
      <c r="I266" s="121"/>
      <c r="J266" s="121"/>
      <c r="K266" s="179">
        <f t="shared" si="153"/>
        <v>0</v>
      </c>
      <c r="L266" s="184">
        <f t="shared" si="154"/>
        <v>0</v>
      </c>
      <c r="M266" s="121">
        <f t="shared" si="155"/>
        <v>0</v>
      </c>
      <c r="N266" s="121">
        <f t="shared" si="156"/>
        <v>0</v>
      </c>
      <c r="O266" s="121">
        <f t="shared" si="157"/>
        <v>0</v>
      </c>
      <c r="P266" s="123">
        <f t="shared" si="158"/>
        <v>0</v>
      </c>
    </row>
    <row r="267" spans="1:16" ht="26.4" x14ac:dyDescent="0.2">
      <c r="A267" s="110">
        <v>10</v>
      </c>
      <c r="B267" s="106"/>
      <c r="C267" s="99" t="s">
        <v>401</v>
      </c>
      <c r="D267" s="106" t="s">
        <v>73</v>
      </c>
      <c r="E267" s="112">
        <f>0.26*1.05</f>
        <v>0.27300000000000002</v>
      </c>
      <c r="F267" s="120"/>
      <c r="G267" s="121"/>
      <c r="H267" s="122"/>
      <c r="I267" s="121"/>
      <c r="J267" s="121"/>
      <c r="K267" s="179">
        <f t="shared" si="153"/>
        <v>0</v>
      </c>
      <c r="L267" s="184">
        <f t="shared" si="154"/>
        <v>0</v>
      </c>
      <c r="M267" s="121">
        <f t="shared" si="155"/>
        <v>0</v>
      </c>
      <c r="N267" s="121">
        <f t="shared" si="156"/>
        <v>0</v>
      </c>
      <c r="O267" s="121">
        <f t="shared" si="157"/>
        <v>0</v>
      </c>
      <c r="P267" s="123">
        <f t="shared" si="158"/>
        <v>0</v>
      </c>
    </row>
    <row r="268" spans="1:16" ht="13.2" x14ac:dyDescent="0.2">
      <c r="A268" s="110">
        <v>11</v>
      </c>
      <c r="B268" s="106" t="s">
        <v>60</v>
      </c>
      <c r="C268" s="100" t="s">
        <v>112</v>
      </c>
      <c r="D268" s="106" t="s">
        <v>73</v>
      </c>
      <c r="E268" s="112">
        <f>E261</f>
        <v>4.9000000000000004</v>
      </c>
      <c r="F268" s="120"/>
      <c r="G268" s="121"/>
      <c r="H268" s="122">
        <f t="shared" si="159"/>
        <v>0</v>
      </c>
      <c r="I268" s="121"/>
      <c r="J268" s="121"/>
      <c r="K268" s="179">
        <f t="shared" si="153"/>
        <v>0</v>
      </c>
      <c r="L268" s="184">
        <f t="shared" si="154"/>
        <v>0</v>
      </c>
      <c r="M268" s="121">
        <f t="shared" si="155"/>
        <v>0</v>
      </c>
      <c r="N268" s="121">
        <f t="shared" si="156"/>
        <v>0</v>
      </c>
      <c r="O268" s="121">
        <f t="shared" si="157"/>
        <v>0</v>
      </c>
      <c r="P268" s="123">
        <f t="shared" si="158"/>
        <v>0</v>
      </c>
    </row>
    <row r="269" spans="1:16" ht="13.2" x14ac:dyDescent="0.2">
      <c r="A269" s="110">
        <v>12</v>
      </c>
      <c r="B269" s="106"/>
      <c r="C269" s="99" t="s">
        <v>113</v>
      </c>
      <c r="D269" s="106" t="s">
        <v>96</v>
      </c>
      <c r="E269" s="112">
        <f>E268*0.12</f>
        <v>0.58799999999999997</v>
      </c>
      <c r="F269" s="120"/>
      <c r="G269" s="121"/>
      <c r="H269" s="122"/>
      <c r="I269" s="121"/>
      <c r="J269" s="121"/>
      <c r="K269" s="179">
        <f t="shared" si="153"/>
        <v>0</v>
      </c>
      <c r="L269" s="184">
        <f t="shared" si="154"/>
        <v>0</v>
      </c>
      <c r="M269" s="121">
        <f t="shared" si="155"/>
        <v>0</v>
      </c>
      <c r="N269" s="121">
        <f t="shared" si="156"/>
        <v>0</v>
      </c>
      <c r="O269" s="121">
        <f t="shared" si="157"/>
        <v>0</v>
      </c>
      <c r="P269" s="123">
        <f t="shared" si="158"/>
        <v>0</v>
      </c>
    </row>
    <row r="270" spans="1:16" ht="13.2" x14ac:dyDescent="0.2">
      <c r="A270" s="110">
        <v>13</v>
      </c>
      <c r="B270" s="106"/>
      <c r="C270" s="99" t="s">
        <v>290</v>
      </c>
      <c r="D270" s="106" t="s">
        <v>99</v>
      </c>
      <c r="E270" s="152">
        <f>E268*4.5</f>
        <v>22.05</v>
      </c>
      <c r="F270" s="120"/>
      <c r="G270" s="121"/>
      <c r="H270" s="122"/>
      <c r="I270" s="121"/>
      <c r="J270" s="121"/>
      <c r="K270" s="179">
        <f t="shared" si="153"/>
        <v>0</v>
      </c>
      <c r="L270" s="184">
        <f t="shared" si="154"/>
        <v>0</v>
      </c>
      <c r="M270" s="121">
        <f t="shared" si="155"/>
        <v>0</v>
      </c>
      <c r="N270" s="121">
        <f t="shared" si="156"/>
        <v>0</v>
      </c>
      <c r="O270" s="121">
        <f t="shared" si="157"/>
        <v>0</v>
      </c>
      <c r="P270" s="123">
        <f t="shared" si="158"/>
        <v>0</v>
      </c>
    </row>
    <row r="271" spans="1:16" ht="13.2" x14ac:dyDescent="0.2">
      <c r="A271" s="110">
        <v>14</v>
      </c>
      <c r="B271" s="106"/>
      <c r="C271" s="99" t="s">
        <v>101</v>
      </c>
      <c r="D271" s="106" t="s">
        <v>73</v>
      </c>
      <c r="E271" s="112">
        <f>E268*1.2</f>
        <v>5.88</v>
      </c>
      <c r="F271" s="120"/>
      <c r="G271" s="121"/>
      <c r="H271" s="122"/>
      <c r="I271" s="121"/>
      <c r="J271" s="121"/>
      <c r="K271" s="179">
        <f t="shared" si="153"/>
        <v>0</v>
      </c>
      <c r="L271" s="184">
        <f t="shared" si="154"/>
        <v>0</v>
      </c>
      <c r="M271" s="121">
        <f t="shared" si="155"/>
        <v>0</v>
      </c>
      <c r="N271" s="121">
        <f t="shared" si="156"/>
        <v>0</v>
      </c>
      <c r="O271" s="121">
        <f t="shared" si="157"/>
        <v>0</v>
      </c>
      <c r="P271" s="123">
        <f t="shared" si="158"/>
        <v>0</v>
      </c>
    </row>
    <row r="272" spans="1:16" ht="13.2" x14ac:dyDescent="0.2">
      <c r="A272" s="110">
        <v>15</v>
      </c>
      <c r="B272" s="106"/>
      <c r="C272" s="99" t="s">
        <v>234</v>
      </c>
      <c r="D272" s="106" t="s">
        <v>62</v>
      </c>
      <c r="E272" s="112">
        <v>12</v>
      </c>
      <c r="F272" s="120"/>
      <c r="G272" s="121"/>
      <c r="H272" s="122"/>
      <c r="I272" s="121"/>
      <c r="J272" s="121"/>
      <c r="K272" s="179">
        <f t="shared" si="153"/>
        <v>0</v>
      </c>
      <c r="L272" s="184">
        <f t="shared" si="154"/>
        <v>0</v>
      </c>
      <c r="M272" s="121">
        <f t="shared" si="155"/>
        <v>0</v>
      </c>
      <c r="N272" s="121">
        <f t="shared" si="156"/>
        <v>0</v>
      </c>
      <c r="O272" s="121">
        <f t="shared" si="157"/>
        <v>0</v>
      </c>
      <c r="P272" s="123">
        <f t="shared" si="158"/>
        <v>0</v>
      </c>
    </row>
    <row r="273" spans="1:21" ht="13.2" x14ac:dyDescent="0.2">
      <c r="A273" s="110">
        <v>16</v>
      </c>
      <c r="B273" s="106" t="s">
        <v>60</v>
      </c>
      <c r="C273" s="100" t="s">
        <v>117</v>
      </c>
      <c r="D273" s="106" t="s">
        <v>73</v>
      </c>
      <c r="E273" s="112">
        <f>E268</f>
        <v>4.9000000000000004</v>
      </c>
      <c r="F273" s="120"/>
      <c r="G273" s="121"/>
      <c r="H273" s="122">
        <f t="shared" si="159"/>
        <v>0</v>
      </c>
      <c r="I273" s="121"/>
      <c r="J273" s="121"/>
      <c r="K273" s="179">
        <f t="shared" si="153"/>
        <v>0</v>
      </c>
      <c r="L273" s="184">
        <f t="shared" si="154"/>
        <v>0</v>
      </c>
      <c r="M273" s="121">
        <f t="shared" si="155"/>
        <v>0</v>
      </c>
      <c r="N273" s="121">
        <f t="shared" si="156"/>
        <v>0</v>
      </c>
      <c r="O273" s="121">
        <f t="shared" si="157"/>
        <v>0</v>
      </c>
      <c r="P273" s="123">
        <f t="shared" si="158"/>
        <v>0</v>
      </c>
    </row>
    <row r="274" spans="1:21" ht="26.4" x14ac:dyDescent="0.2">
      <c r="A274" s="110">
        <v>17</v>
      </c>
      <c r="B274" s="106"/>
      <c r="C274" s="99" t="s">
        <v>291</v>
      </c>
      <c r="D274" s="106" t="s">
        <v>96</v>
      </c>
      <c r="E274" s="112">
        <f>E273*0.12</f>
        <v>0.58799999999999997</v>
      </c>
      <c r="F274" s="120"/>
      <c r="G274" s="121"/>
      <c r="H274" s="122"/>
      <c r="I274" s="121"/>
      <c r="J274" s="121"/>
      <c r="K274" s="179">
        <f t="shared" si="153"/>
        <v>0</v>
      </c>
      <c r="L274" s="184">
        <f t="shared" si="154"/>
        <v>0</v>
      </c>
      <c r="M274" s="121">
        <f t="shared" si="155"/>
        <v>0</v>
      </c>
      <c r="N274" s="121">
        <f t="shared" si="156"/>
        <v>0</v>
      </c>
      <c r="O274" s="121">
        <f t="shared" si="157"/>
        <v>0</v>
      </c>
      <c r="P274" s="123">
        <f t="shared" si="158"/>
        <v>0</v>
      </c>
    </row>
    <row r="275" spans="1:21" ht="39.6" x14ac:dyDescent="0.2">
      <c r="A275" s="110">
        <v>18</v>
      </c>
      <c r="B275" s="106"/>
      <c r="C275" s="99" t="s">
        <v>406</v>
      </c>
      <c r="D275" s="106" t="s">
        <v>99</v>
      </c>
      <c r="E275" s="112">
        <f>E273*4</f>
        <v>19.600000000000001</v>
      </c>
      <c r="F275" s="120"/>
      <c r="G275" s="121"/>
      <c r="H275" s="122"/>
      <c r="I275" s="121"/>
      <c r="J275" s="121"/>
      <c r="K275" s="179">
        <f t="shared" si="153"/>
        <v>0</v>
      </c>
      <c r="L275" s="184">
        <f t="shared" si="154"/>
        <v>0</v>
      </c>
      <c r="M275" s="121">
        <f t="shared" si="155"/>
        <v>0</v>
      </c>
      <c r="N275" s="121">
        <f t="shared" si="156"/>
        <v>0</v>
      </c>
      <c r="O275" s="121">
        <f t="shared" si="157"/>
        <v>0</v>
      </c>
      <c r="P275" s="123">
        <f t="shared" si="158"/>
        <v>0</v>
      </c>
    </row>
    <row r="276" spans="1:21" ht="25.5" customHeight="1" x14ac:dyDescent="0.2">
      <c r="A276" s="163"/>
      <c r="B276" s="164"/>
      <c r="C276" s="165" t="s">
        <v>349</v>
      </c>
      <c r="D276" s="166"/>
      <c r="E276" s="167"/>
      <c r="F276" s="168"/>
      <c r="G276" s="169"/>
      <c r="H276" s="169"/>
      <c r="I276" s="169"/>
      <c r="J276" s="169"/>
      <c r="K276" s="192"/>
      <c r="L276" s="193"/>
      <c r="M276" s="169"/>
      <c r="N276" s="169"/>
      <c r="O276" s="169"/>
      <c r="P276" s="170"/>
      <c r="R276" s="171"/>
      <c r="S276" s="171"/>
      <c r="T276" s="171"/>
      <c r="U276" s="171"/>
    </row>
    <row r="277" spans="1:21" ht="26.4" x14ac:dyDescent="0.2">
      <c r="A277" s="110">
        <v>1</v>
      </c>
      <c r="B277" s="106" t="s">
        <v>60</v>
      </c>
      <c r="C277" s="100" t="s">
        <v>407</v>
      </c>
      <c r="D277" s="106" t="s">
        <v>73</v>
      </c>
      <c r="E277" s="151">
        <v>18.28</v>
      </c>
      <c r="F277" s="120"/>
      <c r="G277" s="121"/>
      <c r="H277" s="122">
        <f>ROUND(F277*G277,2)</f>
        <v>0</v>
      </c>
      <c r="I277" s="121"/>
      <c r="J277" s="121"/>
      <c r="K277" s="179">
        <f>ROUND(H277+J277+I277,2)</f>
        <v>0</v>
      </c>
      <c r="L277" s="184">
        <f>ROUND(E277*F277,2)</f>
        <v>0</v>
      </c>
      <c r="M277" s="121">
        <f>ROUND(E277*H277,2)</f>
        <v>0</v>
      </c>
      <c r="N277" s="121">
        <f>ROUND(E277*I277,2)</f>
        <v>0</v>
      </c>
      <c r="O277" s="121">
        <f>ROUND(E277*J277,2)</f>
        <v>0</v>
      </c>
      <c r="P277" s="123">
        <f>ROUND(O277+N277+M277,2)</f>
        <v>0</v>
      </c>
      <c r="Q277" s="290"/>
      <c r="R277" s="291"/>
      <c r="S277" s="291"/>
      <c r="T277" s="291"/>
      <c r="U277" s="291"/>
    </row>
    <row r="278" spans="1:21" ht="13.2" x14ac:dyDescent="0.2">
      <c r="A278" s="110">
        <v>2</v>
      </c>
      <c r="B278" s="106"/>
      <c r="C278" s="99" t="s">
        <v>98</v>
      </c>
      <c r="D278" s="106" t="s">
        <v>96</v>
      </c>
      <c r="E278" s="112">
        <f>E277*0.12</f>
        <v>2.1936</v>
      </c>
      <c r="F278" s="120"/>
      <c r="G278" s="121"/>
      <c r="H278" s="122"/>
      <c r="I278" s="121"/>
      <c r="J278" s="121"/>
      <c r="K278" s="179">
        <f t="shared" ref="K278:K279" si="166">ROUND(H278+J278+I278,2)</f>
        <v>0</v>
      </c>
      <c r="L278" s="184">
        <f t="shared" ref="L278:L279" si="167">ROUND(E278*F278,2)</f>
        <v>0</v>
      </c>
      <c r="M278" s="121">
        <f t="shared" ref="M278:M279" si="168">ROUND(E278*H278,2)</f>
        <v>0</v>
      </c>
      <c r="N278" s="121">
        <f t="shared" ref="N278:N279" si="169">ROUND(E278*I278,2)</f>
        <v>0</v>
      </c>
      <c r="O278" s="121">
        <f t="shared" ref="O278:O279" si="170">ROUND(E278*J278,2)</f>
        <v>0</v>
      </c>
      <c r="P278" s="123">
        <f t="shared" ref="P278:P279" si="171">ROUND(O278+N278+M278,2)</f>
        <v>0</v>
      </c>
      <c r="Q278" s="290"/>
      <c r="R278" s="291"/>
      <c r="S278" s="291"/>
      <c r="T278" s="291"/>
      <c r="U278" s="291"/>
    </row>
    <row r="279" spans="1:21" ht="26.4" x14ac:dyDescent="0.2">
      <c r="A279" s="110">
        <v>3</v>
      </c>
      <c r="B279" s="106"/>
      <c r="C279" s="99" t="s">
        <v>392</v>
      </c>
      <c r="D279" s="106" t="s">
        <v>109</v>
      </c>
      <c r="E279" s="152">
        <f>E277*5</f>
        <v>91.4</v>
      </c>
      <c r="F279" s="120"/>
      <c r="G279" s="121"/>
      <c r="H279" s="122"/>
      <c r="I279" s="121"/>
      <c r="J279" s="121"/>
      <c r="K279" s="179">
        <f t="shared" si="166"/>
        <v>0</v>
      </c>
      <c r="L279" s="184">
        <f t="shared" si="167"/>
        <v>0</v>
      </c>
      <c r="M279" s="121">
        <f t="shared" si="168"/>
        <v>0</v>
      </c>
      <c r="N279" s="121">
        <f t="shared" si="169"/>
        <v>0</v>
      </c>
      <c r="O279" s="121">
        <f t="shared" si="170"/>
        <v>0</v>
      </c>
      <c r="P279" s="123">
        <f t="shared" si="171"/>
        <v>0</v>
      </c>
      <c r="Q279" s="290"/>
      <c r="R279" s="291"/>
      <c r="S279" s="291"/>
      <c r="T279" s="291"/>
      <c r="U279" s="291"/>
    </row>
    <row r="280" spans="1:21" ht="13.2" x14ac:dyDescent="0.2">
      <c r="A280" s="110">
        <v>4</v>
      </c>
      <c r="B280" s="106" t="s">
        <v>60</v>
      </c>
      <c r="C280" s="100" t="s">
        <v>102</v>
      </c>
      <c r="D280" s="106" t="s">
        <v>73</v>
      </c>
      <c r="E280" s="112">
        <v>5.38</v>
      </c>
      <c r="F280" s="120"/>
      <c r="G280" s="121"/>
      <c r="H280" s="122">
        <f t="shared" ref="H280" si="172">ROUND(F280*G280,2)</f>
        <v>0</v>
      </c>
      <c r="I280" s="121"/>
      <c r="J280" s="121"/>
      <c r="K280" s="179">
        <f>ROUND(H280+J280+I280,2)</f>
        <v>0</v>
      </c>
      <c r="L280" s="184">
        <f>ROUND(E280*F280,2)</f>
        <v>0</v>
      </c>
      <c r="M280" s="121">
        <f>ROUND(E280*H280,2)</f>
        <v>0</v>
      </c>
      <c r="N280" s="121">
        <f>ROUND(E280*I280,2)</f>
        <v>0</v>
      </c>
      <c r="O280" s="121">
        <f>ROUND(E280*J280,2)</f>
        <v>0</v>
      </c>
      <c r="P280" s="123">
        <f>ROUND(O280+N280+M280,2)</f>
        <v>0</v>
      </c>
      <c r="Q280" s="290"/>
      <c r="R280" s="291"/>
      <c r="S280" s="291"/>
      <c r="T280" s="291"/>
      <c r="U280" s="291"/>
    </row>
    <row r="281" spans="1:21" ht="13.2" x14ac:dyDescent="0.2">
      <c r="A281" s="110">
        <v>5</v>
      </c>
      <c r="B281" s="106"/>
      <c r="C281" s="99" t="s">
        <v>98</v>
      </c>
      <c r="D281" s="106" t="s">
        <v>96</v>
      </c>
      <c r="E281" s="112">
        <f>E280*0.12</f>
        <v>0.64559999999999995</v>
      </c>
      <c r="F281" s="120"/>
      <c r="G281" s="121"/>
      <c r="H281" s="122"/>
      <c r="I281" s="121"/>
      <c r="J281" s="121"/>
      <c r="K281" s="179">
        <f t="shared" ref="K281:K297" si="173">ROUND(H281+J281+I281,2)</f>
        <v>0</v>
      </c>
      <c r="L281" s="184">
        <f t="shared" ref="L281:L297" si="174">ROUND(E281*F281,2)</f>
        <v>0</v>
      </c>
      <c r="M281" s="121">
        <f t="shared" ref="M281:M297" si="175">ROUND(E281*H281,2)</f>
        <v>0</v>
      </c>
      <c r="N281" s="121">
        <f t="shared" ref="N281:N297" si="176">ROUND(E281*I281,2)</f>
        <v>0</v>
      </c>
      <c r="O281" s="121">
        <f t="shared" ref="O281:O297" si="177">ROUND(E281*J281,2)</f>
        <v>0</v>
      </c>
      <c r="P281" s="123">
        <f t="shared" ref="P281:P297" si="178">ROUND(O281+N281+M281,2)</f>
        <v>0</v>
      </c>
      <c r="Q281" s="290"/>
      <c r="R281" s="291"/>
      <c r="S281" s="291"/>
      <c r="T281" s="291"/>
      <c r="U281" s="291"/>
    </row>
    <row r="282" spans="1:21" ht="13.2" x14ac:dyDescent="0.2">
      <c r="A282" s="110">
        <v>6</v>
      </c>
      <c r="B282" s="106"/>
      <c r="C282" s="99" t="s">
        <v>114</v>
      </c>
      <c r="D282" s="106" t="s">
        <v>99</v>
      </c>
      <c r="E282" s="152">
        <f>E280*5</f>
        <v>26.9</v>
      </c>
      <c r="F282" s="120"/>
      <c r="G282" s="121"/>
      <c r="H282" s="122"/>
      <c r="I282" s="121"/>
      <c r="J282" s="121"/>
      <c r="K282" s="179">
        <f t="shared" si="173"/>
        <v>0</v>
      </c>
      <c r="L282" s="184">
        <f t="shared" si="174"/>
        <v>0</v>
      </c>
      <c r="M282" s="121">
        <f t="shared" si="175"/>
        <v>0</v>
      </c>
      <c r="N282" s="121">
        <f t="shared" si="176"/>
        <v>0</v>
      </c>
      <c r="O282" s="121">
        <f t="shared" si="177"/>
        <v>0</v>
      </c>
      <c r="P282" s="123">
        <f t="shared" si="178"/>
        <v>0</v>
      </c>
      <c r="Q282" s="290"/>
      <c r="R282" s="291"/>
      <c r="S282" s="291"/>
      <c r="T282" s="291"/>
      <c r="U282" s="291"/>
    </row>
    <row r="283" spans="1:21" ht="26.4" x14ac:dyDescent="0.2">
      <c r="A283" s="110">
        <v>7</v>
      </c>
      <c r="B283" s="106"/>
      <c r="C283" s="99" t="s">
        <v>409</v>
      </c>
      <c r="D283" s="106" t="s">
        <v>64</v>
      </c>
      <c r="E283" s="152">
        <f>ROUND(E280*8.15,0)</f>
        <v>44</v>
      </c>
      <c r="F283" s="120"/>
      <c r="G283" s="121"/>
      <c r="H283" s="122"/>
      <c r="I283" s="121"/>
      <c r="J283" s="121"/>
      <c r="K283" s="179">
        <f t="shared" si="173"/>
        <v>0</v>
      </c>
      <c r="L283" s="184">
        <f t="shared" si="174"/>
        <v>0</v>
      </c>
      <c r="M283" s="121">
        <f t="shared" si="175"/>
        <v>0</v>
      </c>
      <c r="N283" s="121">
        <f t="shared" si="176"/>
        <v>0</v>
      </c>
      <c r="O283" s="121">
        <f t="shared" si="177"/>
        <v>0</v>
      </c>
      <c r="P283" s="123">
        <f t="shared" si="178"/>
        <v>0</v>
      </c>
      <c r="Q283" s="290"/>
      <c r="R283" s="291"/>
      <c r="S283" s="291"/>
      <c r="T283" s="291"/>
      <c r="U283" s="291"/>
    </row>
    <row r="284" spans="1:21" ht="13.2" x14ac:dyDescent="0.2">
      <c r="A284" s="110">
        <v>8</v>
      </c>
      <c r="B284" s="106"/>
      <c r="C284" s="99" t="s">
        <v>110</v>
      </c>
      <c r="D284" s="106" t="s">
        <v>64</v>
      </c>
      <c r="E284" s="112">
        <f>E283</f>
        <v>44</v>
      </c>
      <c r="F284" s="120"/>
      <c r="G284" s="121"/>
      <c r="H284" s="122"/>
      <c r="I284" s="121"/>
      <c r="J284" s="121"/>
      <c r="K284" s="179">
        <f t="shared" si="173"/>
        <v>0</v>
      </c>
      <c r="L284" s="184">
        <f t="shared" si="174"/>
        <v>0</v>
      </c>
      <c r="M284" s="121">
        <f t="shared" si="175"/>
        <v>0</v>
      </c>
      <c r="N284" s="121">
        <f t="shared" si="176"/>
        <v>0</v>
      </c>
      <c r="O284" s="121">
        <f t="shared" si="177"/>
        <v>0</v>
      </c>
      <c r="P284" s="123">
        <f t="shared" si="178"/>
        <v>0</v>
      </c>
      <c r="Q284" s="290"/>
      <c r="R284" s="291"/>
      <c r="S284" s="291"/>
      <c r="T284" s="291"/>
      <c r="U284" s="291"/>
    </row>
    <row r="285" spans="1:21" ht="26.4" x14ac:dyDescent="0.2">
      <c r="A285" s="110">
        <v>9</v>
      </c>
      <c r="B285" s="106"/>
      <c r="C285" s="99" t="s">
        <v>311</v>
      </c>
      <c r="D285" s="106" t="s">
        <v>73</v>
      </c>
      <c r="E285" s="112">
        <f>E280*1.05</f>
        <v>5.649</v>
      </c>
      <c r="F285" s="120"/>
      <c r="G285" s="121"/>
      <c r="H285" s="122"/>
      <c r="I285" s="121"/>
      <c r="J285" s="121"/>
      <c r="K285" s="179">
        <f t="shared" si="173"/>
        <v>0</v>
      </c>
      <c r="L285" s="184">
        <f t="shared" si="174"/>
        <v>0</v>
      </c>
      <c r="M285" s="121">
        <f t="shared" si="175"/>
        <v>0</v>
      </c>
      <c r="N285" s="121">
        <f t="shared" si="176"/>
        <v>0</v>
      </c>
      <c r="O285" s="121">
        <f t="shared" si="177"/>
        <v>0</v>
      </c>
      <c r="P285" s="123">
        <f t="shared" si="178"/>
        <v>0</v>
      </c>
      <c r="Q285" s="290"/>
      <c r="R285" s="291"/>
      <c r="S285" s="291"/>
      <c r="T285" s="291"/>
      <c r="U285" s="291"/>
    </row>
    <row r="286" spans="1:21" ht="13.2" x14ac:dyDescent="0.2">
      <c r="A286" s="110">
        <v>10</v>
      </c>
      <c r="B286" s="106"/>
      <c r="C286" s="99" t="s">
        <v>111</v>
      </c>
      <c r="D286" s="106" t="s">
        <v>62</v>
      </c>
      <c r="E286" s="112">
        <f>1.64*1.1</f>
        <v>1.804</v>
      </c>
      <c r="F286" s="120"/>
      <c r="G286" s="121"/>
      <c r="H286" s="122"/>
      <c r="I286" s="121"/>
      <c r="J286" s="121"/>
      <c r="K286" s="179">
        <f t="shared" si="173"/>
        <v>0</v>
      </c>
      <c r="L286" s="184">
        <f t="shared" si="174"/>
        <v>0</v>
      </c>
      <c r="M286" s="121">
        <f t="shared" si="175"/>
        <v>0</v>
      </c>
      <c r="N286" s="121">
        <f t="shared" si="176"/>
        <v>0</v>
      </c>
      <c r="O286" s="121">
        <f t="shared" si="177"/>
        <v>0</v>
      </c>
      <c r="P286" s="123">
        <f t="shared" si="178"/>
        <v>0</v>
      </c>
      <c r="Q286" s="290"/>
      <c r="R286" s="291"/>
      <c r="S286" s="291"/>
      <c r="T286" s="291"/>
      <c r="U286" s="291"/>
    </row>
    <row r="287" spans="1:21" ht="13.2" x14ac:dyDescent="0.2">
      <c r="A287" s="110">
        <v>11</v>
      </c>
      <c r="B287" s="106" t="s">
        <v>60</v>
      </c>
      <c r="C287" s="100" t="s">
        <v>350</v>
      </c>
      <c r="D287" s="106" t="s">
        <v>73</v>
      </c>
      <c r="E287" s="112">
        <f>E277</f>
        <v>18.28</v>
      </c>
      <c r="F287" s="120"/>
      <c r="G287" s="121"/>
      <c r="H287" s="122">
        <f t="shared" ref="H287" si="179">ROUND(F287*G287,2)</f>
        <v>0</v>
      </c>
      <c r="I287" s="121"/>
      <c r="J287" s="121"/>
      <c r="K287" s="179">
        <f t="shared" si="173"/>
        <v>0</v>
      </c>
      <c r="L287" s="184">
        <f t="shared" si="174"/>
        <v>0</v>
      </c>
      <c r="M287" s="121">
        <f t="shared" si="175"/>
        <v>0</v>
      </c>
      <c r="N287" s="121">
        <f t="shared" si="176"/>
        <v>0</v>
      </c>
      <c r="O287" s="121">
        <f t="shared" si="177"/>
        <v>0</v>
      </c>
      <c r="P287" s="123">
        <f t="shared" si="178"/>
        <v>0</v>
      </c>
      <c r="Q287" s="290"/>
      <c r="R287" s="291"/>
      <c r="S287" s="291"/>
      <c r="T287" s="291"/>
      <c r="U287" s="291"/>
    </row>
    <row r="288" spans="1:21" ht="13.2" x14ac:dyDescent="0.2">
      <c r="A288" s="110">
        <v>12</v>
      </c>
      <c r="B288" s="106"/>
      <c r="C288" s="99" t="s">
        <v>113</v>
      </c>
      <c r="D288" s="106" t="s">
        <v>96</v>
      </c>
      <c r="E288" s="112">
        <f>E287*0.12</f>
        <v>2.1936</v>
      </c>
      <c r="F288" s="120"/>
      <c r="G288" s="121"/>
      <c r="H288" s="122"/>
      <c r="I288" s="121"/>
      <c r="J288" s="121"/>
      <c r="K288" s="179">
        <f t="shared" si="173"/>
        <v>0</v>
      </c>
      <c r="L288" s="184">
        <f t="shared" si="174"/>
        <v>0</v>
      </c>
      <c r="M288" s="121">
        <f t="shared" si="175"/>
        <v>0</v>
      </c>
      <c r="N288" s="121">
        <f t="shared" si="176"/>
        <v>0</v>
      </c>
      <c r="O288" s="121">
        <f t="shared" si="177"/>
        <v>0</v>
      </c>
      <c r="P288" s="123">
        <f t="shared" si="178"/>
        <v>0</v>
      </c>
      <c r="Q288" s="290"/>
      <c r="R288" s="291"/>
      <c r="S288" s="291"/>
      <c r="T288" s="291"/>
      <c r="U288" s="291"/>
    </row>
    <row r="289" spans="1:21" ht="13.2" x14ac:dyDescent="0.2">
      <c r="A289" s="110">
        <v>13</v>
      </c>
      <c r="B289" s="106"/>
      <c r="C289" s="99" t="s">
        <v>290</v>
      </c>
      <c r="D289" s="106" t="s">
        <v>99</v>
      </c>
      <c r="E289" s="152">
        <f>E287*4.5</f>
        <v>82.26</v>
      </c>
      <c r="F289" s="120"/>
      <c r="G289" s="121"/>
      <c r="H289" s="122"/>
      <c r="I289" s="121"/>
      <c r="J289" s="121"/>
      <c r="K289" s="179">
        <f t="shared" si="173"/>
        <v>0</v>
      </c>
      <c r="L289" s="184">
        <f t="shared" si="174"/>
        <v>0</v>
      </c>
      <c r="M289" s="121">
        <f t="shared" si="175"/>
        <v>0</v>
      </c>
      <c r="N289" s="121">
        <f t="shared" si="176"/>
        <v>0</v>
      </c>
      <c r="O289" s="121">
        <f t="shared" si="177"/>
        <v>0</v>
      </c>
      <c r="P289" s="123">
        <f t="shared" si="178"/>
        <v>0</v>
      </c>
      <c r="Q289" s="290"/>
      <c r="R289" s="291"/>
      <c r="S289" s="291"/>
      <c r="T289" s="291"/>
      <c r="U289" s="291"/>
    </row>
    <row r="290" spans="1:21" ht="13.2" x14ac:dyDescent="0.2">
      <c r="A290" s="110">
        <v>14</v>
      </c>
      <c r="B290" s="106"/>
      <c r="C290" s="99" t="s">
        <v>101</v>
      </c>
      <c r="D290" s="106" t="s">
        <v>73</v>
      </c>
      <c r="E290" s="112">
        <f>E287*1.2</f>
        <v>21.936</v>
      </c>
      <c r="F290" s="120"/>
      <c r="G290" s="121"/>
      <c r="H290" s="122"/>
      <c r="I290" s="121"/>
      <c r="J290" s="121"/>
      <c r="K290" s="179">
        <f t="shared" si="173"/>
        <v>0</v>
      </c>
      <c r="L290" s="184">
        <f t="shared" si="174"/>
        <v>0</v>
      </c>
      <c r="M290" s="121">
        <f t="shared" si="175"/>
        <v>0</v>
      </c>
      <c r="N290" s="121">
        <f t="shared" si="176"/>
        <v>0</v>
      </c>
      <c r="O290" s="121">
        <f t="shared" si="177"/>
        <v>0</v>
      </c>
      <c r="P290" s="123">
        <f t="shared" si="178"/>
        <v>0</v>
      </c>
      <c r="Q290" s="290"/>
      <c r="R290" s="291"/>
      <c r="S290" s="291"/>
      <c r="T290" s="291"/>
      <c r="U290" s="291"/>
    </row>
    <row r="291" spans="1:21" ht="13.2" x14ac:dyDescent="0.2">
      <c r="A291" s="110">
        <v>15</v>
      </c>
      <c r="B291" s="106"/>
      <c r="C291" s="99" t="s">
        <v>234</v>
      </c>
      <c r="D291" s="106" t="s">
        <v>62</v>
      </c>
      <c r="E291" s="112">
        <v>5</v>
      </c>
      <c r="F291" s="120"/>
      <c r="G291" s="121"/>
      <c r="H291" s="122"/>
      <c r="I291" s="121"/>
      <c r="J291" s="121"/>
      <c r="K291" s="179">
        <f t="shared" si="173"/>
        <v>0</v>
      </c>
      <c r="L291" s="184">
        <f t="shared" si="174"/>
        <v>0</v>
      </c>
      <c r="M291" s="121">
        <f t="shared" si="175"/>
        <v>0</v>
      </c>
      <c r="N291" s="121">
        <f t="shared" si="176"/>
        <v>0</v>
      </c>
      <c r="O291" s="121">
        <f t="shared" si="177"/>
        <v>0</v>
      </c>
      <c r="P291" s="123">
        <f t="shared" si="178"/>
        <v>0</v>
      </c>
      <c r="Q291" s="290"/>
      <c r="R291" s="291"/>
      <c r="S291" s="291"/>
      <c r="T291" s="291"/>
      <c r="U291" s="291"/>
    </row>
    <row r="292" spans="1:21" ht="13.2" x14ac:dyDescent="0.2">
      <c r="A292" s="110">
        <v>16</v>
      </c>
      <c r="B292" s="106" t="s">
        <v>60</v>
      </c>
      <c r="C292" s="100" t="s">
        <v>117</v>
      </c>
      <c r="D292" s="106" t="s">
        <v>73</v>
      </c>
      <c r="E292" s="112">
        <f>E277</f>
        <v>18.28</v>
      </c>
      <c r="F292" s="120"/>
      <c r="G292" s="121"/>
      <c r="H292" s="122">
        <f t="shared" ref="H292" si="180">ROUND(F292*G292,2)</f>
        <v>0</v>
      </c>
      <c r="I292" s="121"/>
      <c r="J292" s="121"/>
      <c r="K292" s="179">
        <f t="shared" si="173"/>
        <v>0</v>
      </c>
      <c r="L292" s="184">
        <f t="shared" si="174"/>
        <v>0</v>
      </c>
      <c r="M292" s="121">
        <f t="shared" si="175"/>
        <v>0</v>
      </c>
      <c r="N292" s="121">
        <f t="shared" si="176"/>
        <v>0</v>
      </c>
      <c r="O292" s="121">
        <f t="shared" si="177"/>
        <v>0</v>
      </c>
      <c r="P292" s="123">
        <f t="shared" si="178"/>
        <v>0</v>
      </c>
      <c r="Q292" s="290"/>
      <c r="R292" s="291"/>
      <c r="S292" s="291"/>
      <c r="T292" s="291"/>
      <c r="U292" s="291"/>
    </row>
    <row r="293" spans="1:21" ht="26.4" x14ac:dyDescent="0.2">
      <c r="A293" s="110">
        <v>17</v>
      </c>
      <c r="B293" s="106"/>
      <c r="C293" s="99" t="s">
        <v>291</v>
      </c>
      <c r="D293" s="106" t="s">
        <v>96</v>
      </c>
      <c r="E293" s="112">
        <f>E292*0.12</f>
        <v>2.1936</v>
      </c>
      <c r="F293" s="120"/>
      <c r="G293" s="121"/>
      <c r="H293" s="122"/>
      <c r="I293" s="121"/>
      <c r="J293" s="121"/>
      <c r="K293" s="179">
        <f t="shared" si="173"/>
        <v>0</v>
      </c>
      <c r="L293" s="184">
        <f t="shared" si="174"/>
        <v>0</v>
      </c>
      <c r="M293" s="121">
        <f t="shared" si="175"/>
        <v>0</v>
      </c>
      <c r="N293" s="121">
        <f t="shared" si="176"/>
        <v>0</v>
      </c>
      <c r="O293" s="121">
        <f t="shared" si="177"/>
        <v>0</v>
      </c>
      <c r="P293" s="123">
        <f t="shared" si="178"/>
        <v>0</v>
      </c>
      <c r="Q293" s="290"/>
      <c r="R293" s="291"/>
      <c r="S293" s="291"/>
      <c r="T293" s="291"/>
      <c r="U293" s="291"/>
    </row>
    <row r="294" spans="1:21" ht="26.4" x14ac:dyDescent="0.2">
      <c r="A294" s="110">
        <v>18</v>
      </c>
      <c r="B294" s="106"/>
      <c r="C294" s="99" t="s">
        <v>404</v>
      </c>
      <c r="D294" s="106" t="s">
        <v>99</v>
      </c>
      <c r="E294" s="112">
        <f>E292*4</f>
        <v>73.12</v>
      </c>
      <c r="F294" s="120"/>
      <c r="G294" s="121"/>
      <c r="H294" s="122"/>
      <c r="I294" s="121"/>
      <c r="J294" s="121"/>
      <c r="K294" s="179">
        <f t="shared" si="173"/>
        <v>0</v>
      </c>
      <c r="L294" s="184">
        <f t="shared" si="174"/>
        <v>0</v>
      </c>
      <c r="M294" s="121">
        <f t="shared" si="175"/>
        <v>0</v>
      </c>
      <c r="N294" s="121">
        <f t="shared" si="176"/>
        <v>0</v>
      </c>
      <c r="O294" s="121">
        <f t="shared" si="177"/>
        <v>0</v>
      </c>
      <c r="P294" s="123">
        <f t="shared" si="178"/>
        <v>0</v>
      </c>
      <c r="Q294" s="290"/>
      <c r="R294" s="291"/>
      <c r="S294" s="291"/>
      <c r="T294" s="291"/>
      <c r="U294" s="291"/>
    </row>
    <row r="295" spans="1:21" ht="26.4" x14ac:dyDescent="0.2">
      <c r="A295" s="110">
        <v>19</v>
      </c>
      <c r="B295" s="106" t="s">
        <v>60</v>
      </c>
      <c r="C295" s="100" t="s">
        <v>345</v>
      </c>
      <c r="D295" s="106" t="s">
        <v>73</v>
      </c>
      <c r="E295" s="112">
        <v>12.9</v>
      </c>
      <c r="F295" s="120"/>
      <c r="G295" s="121"/>
      <c r="H295" s="122">
        <f t="shared" ref="H295:H297" si="181">ROUND(F295*G295,2)</f>
        <v>0</v>
      </c>
      <c r="I295" s="121"/>
      <c r="J295" s="121"/>
      <c r="K295" s="179">
        <f t="shared" si="173"/>
        <v>0</v>
      </c>
      <c r="L295" s="184">
        <f t="shared" si="174"/>
        <v>0</v>
      </c>
      <c r="M295" s="121">
        <f t="shared" si="175"/>
        <v>0</v>
      </c>
      <c r="N295" s="121">
        <f t="shared" si="176"/>
        <v>0</v>
      </c>
      <c r="O295" s="121">
        <f t="shared" si="177"/>
        <v>0</v>
      </c>
      <c r="P295" s="123">
        <f t="shared" si="178"/>
        <v>0</v>
      </c>
      <c r="Q295" s="290"/>
      <c r="R295" s="291"/>
      <c r="S295" s="291"/>
      <c r="T295" s="291"/>
      <c r="U295" s="291"/>
    </row>
    <row r="296" spans="1:21" ht="13.2" x14ac:dyDescent="0.2">
      <c r="A296" s="110">
        <v>20</v>
      </c>
      <c r="B296" s="106" t="s">
        <v>60</v>
      </c>
      <c r="C296" s="100" t="s">
        <v>346</v>
      </c>
      <c r="D296" s="106" t="s">
        <v>73</v>
      </c>
      <c r="E296" s="112">
        <v>12.9</v>
      </c>
      <c r="F296" s="120"/>
      <c r="G296" s="121"/>
      <c r="H296" s="122">
        <f t="shared" si="181"/>
        <v>0</v>
      </c>
      <c r="I296" s="121"/>
      <c r="J296" s="121"/>
      <c r="K296" s="179">
        <f t="shared" si="173"/>
        <v>0</v>
      </c>
      <c r="L296" s="184">
        <f t="shared" si="174"/>
        <v>0</v>
      </c>
      <c r="M296" s="121">
        <f t="shared" si="175"/>
        <v>0</v>
      </c>
      <c r="N296" s="121">
        <f t="shared" si="176"/>
        <v>0</v>
      </c>
      <c r="O296" s="121">
        <f t="shared" si="177"/>
        <v>0</v>
      </c>
      <c r="P296" s="123">
        <f t="shared" si="178"/>
        <v>0</v>
      </c>
      <c r="Q296" s="290"/>
      <c r="R296" s="291"/>
      <c r="S296" s="291"/>
      <c r="T296" s="291"/>
      <c r="U296" s="291"/>
    </row>
    <row r="297" spans="1:21" ht="13.2" x14ac:dyDescent="0.2">
      <c r="A297" s="110">
        <v>21</v>
      </c>
      <c r="B297" s="106" t="s">
        <v>60</v>
      </c>
      <c r="C297" s="100" t="s">
        <v>347</v>
      </c>
      <c r="D297" s="106" t="s">
        <v>73</v>
      </c>
      <c r="E297" s="112">
        <v>12.9</v>
      </c>
      <c r="F297" s="120"/>
      <c r="G297" s="121"/>
      <c r="H297" s="122">
        <f t="shared" si="181"/>
        <v>0</v>
      </c>
      <c r="I297" s="121"/>
      <c r="J297" s="121"/>
      <c r="K297" s="179">
        <f t="shared" si="173"/>
        <v>0</v>
      </c>
      <c r="L297" s="184">
        <f t="shared" si="174"/>
        <v>0</v>
      </c>
      <c r="M297" s="121">
        <f t="shared" si="175"/>
        <v>0</v>
      </c>
      <c r="N297" s="121">
        <f t="shared" si="176"/>
        <v>0</v>
      </c>
      <c r="O297" s="121">
        <f t="shared" si="177"/>
        <v>0</v>
      </c>
      <c r="P297" s="123">
        <f t="shared" si="178"/>
        <v>0</v>
      </c>
      <c r="Q297" s="290"/>
      <c r="R297" s="291"/>
      <c r="S297" s="291"/>
      <c r="T297" s="291"/>
      <c r="U297" s="291"/>
    </row>
    <row r="298" spans="1:21" ht="13.2" x14ac:dyDescent="0.2">
      <c r="A298" s="163"/>
      <c r="B298" s="164"/>
      <c r="C298" s="165" t="s">
        <v>351</v>
      </c>
      <c r="D298" s="166"/>
      <c r="E298" s="167"/>
      <c r="F298" s="168"/>
      <c r="G298" s="169"/>
      <c r="H298" s="169"/>
      <c r="I298" s="169"/>
      <c r="J298" s="169"/>
      <c r="K298" s="192"/>
      <c r="L298" s="193"/>
      <c r="M298" s="169"/>
      <c r="N298" s="169"/>
      <c r="O298" s="169"/>
      <c r="P298" s="170"/>
    </row>
    <row r="299" spans="1:21" ht="13.2" x14ac:dyDescent="0.2">
      <c r="A299" s="110">
        <v>1</v>
      </c>
      <c r="B299" s="106" t="s">
        <v>60</v>
      </c>
      <c r="C299" s="111" t="s">
        <v>338</v>
      </c>
      <c r="D299" s="106" t="s">
        <v>73</v>
      </c>
      <c r="E299" s="112">
        <v>1.27</v>
      </c>
      <c r="F299" s="120"/>
      <c r="G299" s="121"/>
      <c r="H299" s="122">
        <f>ROUND(F299*G299,2)</f>
        <v>0</v>
      </c>
      <c r="I299" s="121"/>
      <c r="J299" s="121"/>
      <c r="K299" s="179">
        <f t="shared" ref="K299:K301" si="182">ROUND(H299+J299+I299,2)</f>
        <v>0</v>
      </c>
      <c r="L299" s="184">
        <f t="shared" ref="L299:L301" si="183">ROUND(E299*F299,2)</f>
        <v>0</v>
      </c>
      <c r="M299" s="121">
        <f t="shared" ref="M299:M301" si="184">ROUND(E299*H299,2)</f>
        <v>0</v>
      </c>
      <c r="N299" s="121">
        <f t="shared" ref="N299:N301" si="185">ROUND(E299*I299,2)</f>
        <v>0</v>
      </c>
      <c r="O299" s="121">
        <f t="shared" ref="O299:O301" si="186">ROUND(E299*J299,2)</f>
        <v>0</v>
      </c>
      <c r="P299" s="123">
        <f t="shared" ref="P299:P301" si="187">ROUND(O299+N299+M299,2)</f>
        <v>0</v>
      </c>
    </row>
    <row r="300" spans="1:21" ht="13.2" x14ac:dyDescent="0.2">
      <c r="A300" s="110">
        <v>2</v>
      </c>
      <c r="B300" s="106"/>
      <c r="C300" s="99" t="s">
        <v>292</v>
      </c>
      <c r="D300" s="106" t="s">
        <v>96</v>
      </c>
      <c r="E300" s="112">
        <f>E299*0.17*2</f>
        <v>0.43180000000000002</v>
      </c>
      <c r="F300" s="120"/>
      <c r="G300" s="121"/>
      <c r="H300" s="122"/>
      <c r="I300" s="121"/>
      <c r="J300" s="121"/>
      <c r="K300" s="179">
        <f t="shared" si="182"/>
        <v>0</v>
      </c>
      <c r="L300" s="184">
        <f t="shared" si="183"/>
        <v>0</v>
      </c>
      <c r="M300" s="121">
        <f t="shared" si="184"/>
        <v>0</v>
      </c>
      <c r="N300" s="121">
        <f t="shared" si="185"/>
        <v>0</v>
      </c>
      <c r="O300" s="121">
        <f t="shared" si="186"/>
        <v>0</v>
      </c>
      <c r="P300" s="123">
        <f t="shared" si="187"/>
        <v>0</v>
      </c>
    </row>
    <row r="301" spans="1:21" ht="13.2" x14ac:dyDescent="0.2">
      <c r="A301" s="110">
        <v>3</v>
      </c>
      <c r="B301" s="106"/>
      <c r="C301" s="99" t="s">
        <v>478</v>
      </c>
      <c r="D301" s="106" t="s">
        <v>99</v>
      </c>
      <c r="E301" s="112">
        <f>E299*40*1.1</f>
        <v>55.88</v>
      </c>
      <c r="F301" s="120"/>
      <c r="G301" s="121"/>
      <c r="H301" s="122"/>
      <c r="I301" s="121"/>
      <c r="J301" s="121"/>
      <c r="K301" s="179">
        <f t="shared" si="182"/>
        <v>0</v>
      </c>
      <c r="L301" s="184">
        <f t="shared" si="183"/>
        <v>0</v>
      </c>
      <c r="M301" s="121">
        <f t="shared" si="184"/>
        <v>0</v>
      </c>
      <c r="N301" s="121">
        <f t="shared" si="185"/>
        <v>0</v>
      </c>
      <c r="O301" s="121">
        <f t="shared" si="186"/>
        <v>0</v>
      </c>
      <c r="P301" s="123">
        <f t="shared" si="187"/>
        <v>0</v>
      </c>
    </row>
    <row r="302" spans="1:21" ht="13.2" x14ac:dyDescent="0.2">
      <c r="A302" s="110">
        <v>4</v>
      </c>
      <c r="B302" s="106" t="s">
        <v>60</v>
      </c>
      <c r="C302" s="100" t="s">
        <v>352</v>
      </c>
      <c r="D302" s="106" t="s">
        <v>62</v>
      </c>
      <c r="E302" s="112">
        <v>7.26</v>
      </c>
      <c r="F302" s="120"/>
      <c r="G302" s="121"/>
      <c r="H302" s="122">
        <f t="shared" si="137"/>
        <v>0</v>
      </c>
      <c r="I302" s="121"/>
      <c r="J302" s="121"/>
      <c r="K302" s="179">
        <f t="shared" si="61"/>
        <v>0</v>
      </c>
      <c r="L302" s="184">
        <f t="shared" si="62"/>
        <v>0</v>
      </c>
      <c r="M302" s="121">
        <f t="shared" si="63"/>
        <v>0</v>
      </c>
      <c r="N302" s="121">
        <f t="shared" si="64"/>
        <v>0</v>
      </c>
      <c r="O302" s="121">
        <f t="shared" si="65"/>
        <v>0</v>
      </c>
      <c r="P302" s="123">
        <f t="shared" si="66"/>
        <v>0</v>
      </c>
    </row>
    <row r="303" spans="1:21" ht="13.2" x14ac:dyDescent="0.2">
      <c r="A303" s="110">
        <v>5</v>
      </c>
      <c r="B303" s="106" t="s">
        <v>60</v>
      </c>
      <c r="C303" s="100" t="s">
        <v>353</v>
      </c>
      <c r="D303" s="106" t="s">
        <v>62</v>
      </c>
      <c r="E303" s="112">
        <v>7.26</v>
      </c>
      <c r="F303" s="120"/>
      <c r="G303" s="121"/>
      <c r="H303" s="122">
        <f>ROUND(F303*G303,2)</f>
        <v>0</v>
      </c>
      <c r="I303" s="121"/>
      <c r="J303" s="121"/>
      <c r="K303" s="179">
        <f t="shared" si="61"/>
        <v>0</v>
      </c>
      <c r="L303" s="184">
        <f t="shared" si="62"/>
        <v>0</v>
      </c>
      <c r="M303" s="121">
        <f t="shared" si="63"/>
        <v>0</v>
      </c>
      <c r="N303" s="121">
        <f t="shared" si="64"/>
        <v>0</v>
      </c>
      <c r="O303" s="121">
        <f t="shared" si="65"/>
        <v>0</v>
      </c>
      <c r="P303" s="123">
        <f t="shared" si="66"/>
        <v>0</v>
      </c>
    </row>
    <row r="304" spans="1:21" ht="13.2" x14ac:dyDescent="0.2">
      <c r="A304" s="110">
        <v>6</v>
      </c>
      <c r="B304" s="106" t="s">
        <v>60</v>
      </c>
      <c r="C304" s="100" t="s">
        <v>354</v>
      </c>
      <c r="D304" s="106" t="s">
        <v>73</v>
      </c>
      <c r="E304" s="112">
        <v>3.58</v>
      </c>
      <c r="F304" s="120"/>
      <c r="G304" s="121"/>
      <c r="H304" s="122">
        <f t="shared" ref="H304" si="188">ROUND(F304*G304,2)</f>
        <v>0</v>
      </c>
      <c r="I304" s="121"/>
      <c r="J304" s="121"/>
      <c r="K304" s="179">
        <f t="shared" si="61"/>
        <v>0</v>
      </c>
      <c r="L304" s="184">
        <f t="shared" si="62"/>
        <v>0</v>
      </c>
      <c r="M304" s="121">
        <f t="shared" si="63"/>
        <v>0</v>
      </c>
      <c r="N304" s="121">
        <f t="shared" si="64"/>
        <v>0</v>
      </c>
      <c r="O304" s="121">
        <f t="shared" si="65"/>
        <v>0</v>
      </c>
      <c r="P304" s="123">
        <f t="shared" si="66"/>
        <v>0</v>
      </c>
    </row>
    <row r="305" spans="1:16" ht="26.4" x14ac:dyDescent="0.2">
      <c r="A305" s="110">
        <v>7</v>
      </c>
      <c r="B305" s="106" t="s">
        <v>60</v>
      </c>
      <c r="C305" s="100" t="s">
        <v>410</v>
      </c>
      <c r="D305" s="106" t="s">
        <v>73</v>
      </c>
      <c r="E305" s="112">
        <v>4.8499999999999996</v>
      </c>
      <c r="F305" s="120"/>
      <c r="G305" s="121"/>
      <c r="H305" s="122">
        <f t="shared" si="136"/>
        <v>0</v>
      </c>
      <c r="I305" s="121"/>
      <c r="J305" s="121"/>
      <c r="K305" s="179">
        <f t="shared" si="61"/>
        <v>0</v>
      </c>
      <c r="L305" s="184">
        <f t="shared" si="62"/>
        <v>0</v>
      </c>
      <c r="M305" s="121">
        <f t="shared" si="63"/>
        <v>0</v>
      </c>
      <c r="N305" s="121">
        <f t="shared" si="64"/>
        <v>0</v>
      </c>
      <c r="O305" s="121">
        <f t="shared" si="65"/>
        <v>0</v>
      </c>
      <c r="P305" s="123">
        <f t="shared" si="66"/>
        <v>0</v>
      </c>
    </row>
    <row r="306" spans="1:16" ht="39.6" x14ac:dyDescent="0.2">
      <c r="A306" s="110">
        <v>8</v>
      </c>
      <c r="B306" s="106" t="s">
        <v>60</v>
      </c>
      <c r="C306" s="100" t="s">
        <v>355</v>
      </c>
      <c r="D306" s="106" t="s">
        <v>62</v>
      </c>
      <c r="E306" s="112">
        <v>2.2999999999999998</v>
      </c>
      <c r="F306" s="120"/>
      <c r="G306" s="121"/>
      <c r="H306" s="122">
        <f t="shared" si="136"/>
        <v>0</v>
      </c>
      <c r="I306" s="121"/>
      <c r="J306" s="121"/>
      <c r="K306" s="179">
        <f t="shared" ref="K306:K324" si="189">ROUND(H306+J306+I306,2)</f>
        <v>0</v>
      </c>
      <c r="L306" s="184">
        <f t="shared" ref="L306:L324" si="190">ROUND(E306*F306,2)</f>
        <v>0</v>
      </c>
      <c r="M306" s="121">
        <f t="shared" ref="M306:M324" si="191">ROUND(E306*H306,2)</f>
        <v>0</v>
      </c>
      <c r="N306" s="121">
        <f t="shared" ref="N306:N324" si="192">ROUND(E306*I306,2)</f>
        <v>0</v>
      </c>
      <c r="O306" s="121">
        <f t="shared" ref="O306:O324" si="193">ROUND(E306*J306,2)</f>
        <v>0</v>
      </c>
      <c r="P306" s="123">
        <f t="shared" ref="P306:P324" si="194">ROUND(O306+N306+M306,2)</f>
        <v>0</v>
      </c>
    </row>
    <row r="307" spans="1:16" ht="39.6" x14ac:dyDescent="0.2">
      <c r="A307" s="163"/>
      <c r="B307" s="164"/>
      <c r="C307" s="165" t="s">
        <v>356</v>
      </c>
      <c r="D307" s="166"/>
      <c r="E307" s="167"/>
      <c r="F307" s="168"/>
      <c r="G307" s="169"/>
      <c r="H307" s="169"/>
      <c r="I307" s="169"/>
      <c r="J307" s="169"/>
      <c r="K307" s="192"/>
      <c r="L307" s="193"/>
      <c r="M307" s="169"/>
      <c r="N307" s="169"/>
      <c r="O307" s="169"/>
      <c r="P307" s="170"/>
    </row>
    <row r="308" spans="1:16" ht="13.2" x14ac:dyDescent="0.2">
      <c r="A308" s="163"/>
      <c r="B308" s="164"/>
      <c r="C308" s="165" t="s">
        <v>357</v>
      </c>
      <c r="D308" s="166"/>
      <c r="E308" s="167"/>
      <c r="F308" s="168"/>
      <c r="G308" s="169"/>
      <c r="H308" s="169"/>
      <c r="I308" s="169"/>
      <c r="J308" s="169"/>
      <c r="K308" s="192"/>
      <c r="L308" s="193"/>
      <c r="M308" s="169"/>
      <c r="N308" s="169"/>
      <c r="O308" s="169"/>
      <c r="P308" s="170"/>
    </row>
    <row r="309" spans="1:16" ht="26.4" x14ac:dyDescent="0.2">
      <c r="A309" s="110">
        <v>1</v>
      </c>
      <c r="B309" s="106" t="s">
        <v>60</v>
      </c>
      <c r="C309" s="100" t="s">
        <v>358</v>
      </c>
      <c r="D309" s="106" t="s">
        <v>89</v>
      </c>
      <c r="E309" s="112">
        <v>2.17</v>
      </c>
      <c r="F309" s="120"/>
      <c r="G309" s="121"/>
      <c r="H309" s="122">
        <f>ROUND(F309*G309,2)</f>
        <v>0</v>
      </c>
      <c r="I309" s="121"/>
      <c r="J309" s="121"/>
      <c r="K309" s="179">
        <f t="shared" si="189"/>
        <v>0</v>
      </c>
      <c r="L309" s="184">
        <f t="shared" si="190"/>
        <v>0</v>
      </c>
      <c r="M309" s="121">
        <f t="shared" si="191"/>
        <v>0</v>
      </c>
      <c r="N309" s="121">
        <f t="shared" si="192"/>
        <v>0</v>
      </c>
      <c r="O309" s="121">
        <f t="shared" si="193"/>
        <v>0</v>
      </c>
      <c r="P309" s="123">
        <f t="shared" si="194"/>
        <v>0</v>
      </c>
    </row>
    <row r="310" spans="1:16" ht="13.2" x14ac:dyDescent="0.2">
      <c r="A310" s="110">
        <v>2</v>
      </c>
      <c r="B310" s="106" t="s">
        <v>60</v>
      </c>
      <c r="C310" s="100" t="s">
        <v>359</v>
      </c>
      <c r="D310" s="106" t="s">
        <v>73</v>
      </c>
      <c r="E310" s="112">
        <v>0.62</v>
      </c>
      <c r="F310" s="120"/>
      <c r="G310" s="121"/>
      <c r="H310" s="122">
        <f t="shared" ref="H310:H311" si="195">ROUND(F310*G310,2)</f>
        <v>0</v>
      </c>
      <c r="I310" s="121"/>
      <c r="J310" s="121"/>
      <c r="K310" s="179">
        <f t="shared" si="189"/>
        <v>0</v>
      </c>
      <c r="L310" s="184">
        <f t="shared" si="190"/>
        <v>0</v>
      </c>
      <c r="M310" s="121">
        <f t="shared" si="191"/>
        <v>0</v>
      </c>
      <c r="N310" s="121">
        <f t="shared" si="192"/>
        <v>0</v>
      </c>
      <c r="O310" s="121">
        <f t="shared" si="193"/>
        <v>0</v>
      </c>
      <c r="P310" s="123">
        <f t="shared" si="194"/>
        <v>0</v>
      </c>
    </row>
    <row r="311" spans="1:16" ht="26.4" x14ac:dyDescent="0.2">
      <c r="A311" s="110">
        <v>3</v>
      </c>
      <c r="B311" s="106" t="s">
        <v>60</v>
      </c>
      <c r="C311" s="100" t="s">
        <v>360</v>
      </c>
      <c r="D311" s="106" t="s">
        <v>62</v>
      </c>
      <c r="E311" s="112">
        <v>190.03</v>
      </c>
      <c r="F311" s="120"/>
      <c r="G311" s="121"/>
      <c r="H311" s="122">
        <f t="shared" si="195"/>
        <v>0</v>
      </c>
      <c r="I311" s="121"/>
      <c r="J311" s="121"/>
      <c r="K311" s="179">
        <f t="shared" si="189"/>
        <v>0</v>
      </c>
      <c r="L311" s="184">
        <f t="shared" si="190"/>
        <v>0</v>
      </c>
      <c r="M311" s="121">
        <f t="shared" si="191"/>
        <v>0</v>
      </c>
      <c r="N311" s="121">
        <f t="shared" si="192"/>
        <v>0</v>
      </c>
      <c r="O311" s="121">
        <f t="shared" si="193"/>
        <v>0</v>
      </c>
      <c r="P311" s="123">
        <f t="shared" si="194"/>
        <v>0</v>
      </c>
    </row>
    <row r="312" spans="1:16" ht="26.4" x14ac:dyDescent="0.2">
      <c r="A312" s="110">
        <v>4</v>
      </c>
      <c r="B312" s="106" t="s">
        <v>60</v>
      </c>
      <c r="C312" s="100" t="s">
        <v>361</v>
      </c>
      <c r="D312" s="106" t="s">
        <v>73</v>
      </c>
      <c r="E312" s="112">
        <f>1.9*2*1.4</f>
        <v>5.3199999999999994</v>
      </c>
      <c r="F312" s="120"/>
      <c r="G312" s="121"/>
      <c r="H312" s="122">
        <f>ROUND(F312*G312,2)</f>
        <v>0</v>
      </c>
      <c r="I312" s="121"/>
      <c r="J312" s="121"/>
      <c r="K312" s="179">
        <f t="shared" si="189"/>
        <v>0</v>
      </c>
      <c r="L312" s="184">
        <f t="shared" si="190"/>
        <v>0</v>
      </c>
      <c r="M312" s="121">
        <f t="shared" si="191"/>
        <v>0</v>
      </c>
      <c r="N312" s="121">
        <f t="shared" si="192"/>
        <v>0</v>
      </c>
      <c r="O312" s="121">
        <f t="shared" si="193"/>
        <v>0</v>
      </c>
      <c r="P312" s="123">
        <f t="shared" si="194"/>
        <v>0</v>
      </c>
    </row>
    <row r="313" spans="1:16" ht="13.2" x14ac:dyDescent="0.2">
      <c r="A313" s="110">
        <v>5</v>
      </c>
      <c r="B313" s="106" t="s">
        <v>60</v>
      </c>
      <c r="C313" s="100" t="s">
        <v>362</v>
      </c>
      <c r="D313" s="106" t="s">
        <v>89</v>
      </c>
      <c r="E313" s="112">
        <v>2.82</v>
      </c>
      <c r="F313" s="120"/>
      <c r="G313" s="121"/>
      <c r="H313" s="122">
        <f t="shared" ref="H313" si="196">ROUND(F313*G313,2)</f>
        <v>0</v>
      </c>
      <c r="I313" s="121"/>
      <c r="J313" s="121"/>
      <c r="K313" s="179">
        <f t="shared" si="189"/>
        <v>0</v>
      </c>
      <c r="L313" s="184">
        <f t="shared" si="190"/>
        <v>0</v>
      </c>
      <c r="M313" s="121">
        <f t="shared" si="191"/>
        <v>0</v>
      </c>
      <c r="N313" s="121">
        <f t="shared" si="192"/>
        <v>0</v>
      </c>
      <c r="O313" s="121">
        <f t="shared" si="193"/>
        <v>0</v>
      </c>
      <c r="P313" s="123">
        <f t="shared" si="194"/>
        <v>0</v>
      </c>
    </row>
    <row r="314" spans="1:16" ht="39.6" x14ac:dyDescent="0.2">
      <c r="A314" s="110">
        <v>6</v>
      </c>
      <c r="B314" s="106" t="s">
        <v>60</v>
      </c>
      <c r="C314" s="100" t="s">
        <v>363</v>
      </c>
      <c r="D314" s="106" t="s">
        <v>73</v>
      </c>
      <c r="E314" s="112">
        <v>10.91</v>
      </c>
      <c r="F314" s="120"/>
      <c r="G314" s="121"/>
      <c r="H314" s="122">
        <f>ROUND(F314*G314,2)</f>
        <v>0</v>
      </c>
      <c r="I314" s="121"/>
      <c r="J314" s="121"/>
      <c r="K314" s="179">
        <f t="shared" si="189"/>
        <v>0</v>
      </c>
      <c r="L314" s="184">
        <f t="shared" si="190"/>
        <v>0</v>
      </c>
      <c r="M314" s="121">
        <f t="shared" si="191"/>
        <v>0</v>
      </c>
      <c r="N314" s="121">
        <f t="shared" si="192"/>
        <v>0</v>
      </c>
      <c r="O314" s="121">
        <f t="shared" si="193"/>
        <v>0</v>
      </c>
      <c r="P314" s="123">
        <f t="shared" si="194"/>
        <v>0</v>
      </c>
    </row>
    <row r="315" spans="1:16" ht="13.2" x14ac:dyDescent="0.2">
      <c r="A315" s="163"/>
      <c r="B315" s="164"/>
      <c r="C315" s="165" t="s">
        <v>364</v>
      </c>
      <c r="D315" s="166"/>
      <c r="E315" s="167"/>
      <c r="F315" s="168"/>
      <c r="G315" s="169"/>
      <c r="H315" s="169"/>
      <c r="I315" s="169"/>
      <c r="J315" s="169"/>
      <c r="K315" s="192"/>
      <c r="L315" s="193"/>
      <c r="M315" s="169"/>
      <c r="N315" s="169"/>
      <c r="O315" s="169"/>
      <c r="P315" s="170"/>
    </row>
    <row r="316" spans="1:16" ht="26.4" x14ac:dyDescent="0.2">
      <c r="A316" s="110">
        <v>1</v>
      </c>
      <c r="B316" s="106" t="s">
        <v>60</v>
      </c>
      <c r="C316" s="100" t="s">
        <v>365</v>
      </c>
      <c r="D316" s="106" t="s">
        <v>62</v>
      </c>
      <c r="E316" s="112">
        <v>1.3</v>
      </c>
      <c r="F316" s="120"/>
      <c r="G316" s="121"/>
      <c r="H316" s="122">
        <f t="shared" ref="H316:H318" si="197">ROUND(F316*G316,2)</f>
        <v>0</v>
      </c>
      <c r="I316" s="121"/>
      <c r="J316" s="121"/>
      <c r="K316" s="179">
        <f t="shared" si="189"/>
        <v>0</v>
      </c>
      <c r="L316" s="184">
        <f t="shared" si="190"/>
        <v>0</v>
      </c>
      <c r="M316" s="121">
        <f t="shared" si="191"/>
        <v>0</v>
      </c>
      <c r="N316" s="121">
        <f t="shared" si="192"/>
        <v>0</v>
      </c>
      <c r="O316" s="121">
        <f t="shared" si="193"/>
        <v>0</v>
      </c>
      <c r="P316" s="123">
        <f t="shared" si="194"/>
        <v>0</v>
      </c>
    </row>
    <row r="317" spans="1:16" ht="26.4" x14ac:dyDescent="0.2">
      <c r="A317" s="110">
        <v>2</v>
      </c>
      <c r="B317" s="106" t="s">
        <v>60</v>
      </c>
      <c r="C317" s="100" t="s">
        <v>366</v>
      </c>
      <c r="D317" s="106" t="s">
        <v>62</v>
      </c>
      <c r="E317" s="112">
        <v>6.4</v>
      </c>
      <c r="F317" s="120"/>
      <c r="G317" s="121"/>
      <c r="H317" s="122">
        <f t="shared" si="197"/>
        <v>0</v>
      </c>
      <c r="I317" s="121"/>
      <c r="J317" s="121"/>
      <c r="K317" s="179">
        <f t="shared" si="189"/>
        <v>0</v>
      </c>
      <c r="L317" s="184">
        <f t="shared" si="190"/>
        <v>0</v>
      </c>
      <c r="M317" s="121">
        <f t="shared" si="191"/>
        <v>0</v>
      </c>
      <c r="N317" s="121">
        <f t="shared" si="192"/>
        <v>0</v>
      </c>
      <c r="O317" s="121">
        <f t="shared" si="193"/>
        <v>0</v>
      </c>
      <c r="P317" s="123">
        <f t="shared" si="194"/>
        <v>0</v>
      </c>
    </row>
    <row r="318" spans="1:16" ht="26.4" x14ac:dyDescent="0.2">
      <c r="A318" s="110">
        <v>3</v>
      </c>
      <c r="B318" s="106" t="s">
        <v>60</v>
      </c>
      <c r="C318" s="100" t="s">
        <v>367</v>
      </c>
      <c r="D318" s="106" t="s">
        <v>62</v>
      </c>
      <c r="E318" s="112">
        <v>6.1</v>
      </c>
      <c r="F318" s="120"/>
      <c r="G318" s="121"/>
      <c r="H318" s="122">
        <f t="shared" si="197"/>
        <v>0</v>
      </c>
      <c r="I318" s="121"/>
      <c r="J318" s="121"/>
      <c r="K318" s="179">
        <f t="shared" si="189"/>
        <v>0</v>
      </c>
      <c r="L318" s="184">
        <f t="shared" si="190"/>
        <v>0</v>
      </c>
      <c r="M318" s="121">
        <f t="shared" si="191"/>
        <v>0</v>
      </c>
      <c r="N318" s="121">
        <f t="shared" si="192"/>
        <v>0</v>
      </c>
      <c r="O318" s="121">
        <f t="shared" si="193"/>
        <v>0</v>
      </c>
      <c r="P318" s="123">
        <f t="shared" si="194"/>
        <v>0</v>
      </c>
    </row>
    <row r="319" spans="1:16" ht="26.4" x14ac:dyDescent="0.2">
      <c r="A319" s="110">
        <v>4</v>
      </c>
      <c r="B319" s="106" t="s">
        <v>60</v>
      </c>
      <c r="C319" s="100" t="s">
        <v>368</v>
      </c>
      <c r="D319" s="106" t="s">
        <v>73</v>
      </c>
      <c r="E319" s="112">
        <v>3.66</v>
      </c>
      <c r="F319" s="120"/>
      <c r="G319" s="121"/>
      <c r="H319" s="122">
        <f>ROUND(F319*G319,2)</f>
        <v>0</v>
      </c>
      <c r="I319" s="121"/>
      <c r="J319" s="121"/>
      <c r="K319" s="179">
        <f t="shared" si="189"/>
        <v>0</v>
      </c>
      <c r="L319" s="184">
        <f t="shared" si="190"/>
        <v>0</v>
      </c>
      <c r="M319" s="121">
        <f t="shared" si="191"/>
        <v>0</v>
      </c>
      <c r="N319" s="121">
        <f t="shared" si="192"/>
        <v>0</v>
      </c>
      <c r="O319" s="121">
        <f t="shared" si="193"/>
        <v>0</v>
      </c>
      <c r="P319" s="123">
        <f t="shared" si="194"/>
        <v>0</v>
      </c>
    </row>
    <row r="320" spans="1:16" ht="13.2" x14ac:dyDescent="0.2">
      <c r="A320" s="110">
        <v>5</v>
      </c>
      <c r="B320" s="106" t="s">
        <v>60</v>
      </c>
      <c r="C320" s="100" t="s">
        <v>369</v>
      </c>
      <c r="D320" s="106" t="s">
        <v>73</v>
      </c>
      <c r="E320" s="112">
        <v>1.08</v>
      </c>
      <c r="F320" s="120"/>
      <c r="G320" s="121"/>
      <c r="H320" s="122">
        <f t="shared" ref="H320:H322" si="198">ROUND(F320*G320,2)</f>
        <v>0</v>
      </c>
      <c r="I320" s="121"/>
      <c r="J320" s="121"/>
      <c r="K320" s="179">
        <f t="shared" si="189"/>
        <v>0</v>
      </c>
      <c r="L320" s="184">
        <f t="shared" si="190"/>
        <v>0</v>
      </c>
      <c r="M320" s="121">
        <f t="shared" si="191"/>
        <v>0</v>
      </c>
      <c r="N320" s="121">
        <f t="shared" si="192"/>
        <v>0</v>
      </c>
      <c r="O320" s="121">
        <f t="shared" si="193"/>
        <v>0</v>
      </c>
      <c r="P320" s="123">
        <f t="shared" si="194"/>
        <v>0</v>
      </c>
    </row>
    <row r="321" spans="1:16" ht="26.4" x14ac:dyDescent="0.2">
      <c r="A321" s="110">
        <v>6</v>
      </c>
      <c r="B321" s="106" t="s">
        <v>60</v>
      </c>
      <c r="C321" s="100" t="s">
        <v>370</v>
      </c>
      <c r="D321" s="106" t="s">
        <v>62</v>
      </c>
      <c r="E321" s="112">
        <v>7.5</v>
      </c>
      <c r="F321" s="120"/>
      <c r="G321" s="121"/>
      <c r="H321" s="122">
        <f t="shared" si="198"/>
        <v>0</v>
      </c>
      <c r="I321" s="121"/>
      <c r="J321" s="121"/>
      <c r="K321" s="179">
        <f t="shared" si="189"/>
        <v>0</v>
      </c>
      <c r="L321" s="184">
        <f t="shared" si="190"/>
        <v>0</v>
      </c>
      <c r="M321" s="121">
        <f t="shared" si="191"/>
        <v>0</v>
      </c>
      <c r="N321" s="121">
        <f t="shared" si="192"/>
        <v>0</v>
      </c>
      <c r="O321" s="121">
        <f t="shared" si="193"/>
        <v>0</v>
      </c>
      <c r="P321" s="123">
        <f t="shared" si="194"/>
        <v>0</v>
      </c>
    </row>
    <row r="322" spans="1:16" ht="26.4" x14ac:dyDescent="0.2">
      <c r="A322" s="110">
        <v>7</v>
      </c>
      <c r="B322" s="106" t="s">
        <v>60</v>
      </c>
      <c r="C322" s="100" t="s">
        <v>371</v>
      </c>
      <c r="D322" s="106" t="s">
        <v>62</v>
      </c>
      <c r="E322" s="112">
        <v>4.75</v>
      </c>
      <c r="F322" s="120"/>
      <c r="G322" s="121"/>
      <c r="H322" s="122">
        <f t="shared" si="198"/>
        <v>0</v>
      </c>
      <c r="I322" s="121"/>
      <c r="J322" s="121"/>
      <c r="K322" s="179">
        <f t="shared" si="189"/>
        <v>0</v>
      </c>
      <c r="L322" s="184">
        <f t="shared" si="190"/>
        <v>0</v>
      </c>
      <c r="M322" s="121">
        <f t="shared" si="191"/>
        <v>0</v>
      </c>
      <c r="N322" s="121">
        <f t="shared" si="192"/>
        <v>0</v>
      </c>
      <c r="O322" s="121">
        <f t="shared" si="193"/>
        <v>0</v>
      </c>
      <c r="P322" s="123">
        <f t="shared" si="194"/>
        <v>0</v>
      </c>
    </row>
    <row r="323" spans="1:16" ht="26.4" x14ac:dyDescent="0.2">
      <c r="A323" s="110">
        <v>8</v>
      </c>
      <c r="B323" s="106" t="s">
        <v>60</v>
      </c>
      <c r="C323" s="100" t="s">
        <v>372</v>
      </c>
      <c r="D323" s="106" t="s">
        <v>62</v>
      </c>
      <c r="E323" s="112">
        <v>2.6</v>
      </c>
      <c r="F323" s="120"/>
      <c r="G323" s="121"/>
      <c r="H323" s="122">
        <f>ROUND(F323*G323,2)</f>
        <v>0</v>
      </c>
      <c r="I323" s="121"/>
      <c r="J323" s="121"/>
      <c r="K323" s="179">
        <f t="shared" si="189"/>
        <v>0</v>
      </c>
      <c r="L323" s="184">
        <f t="shared" si="190"/>
        <v>0</v>
      </c>
      <c r="M323" s="121">
        <f t="shared" si="191"/>
        <v>0</v>
      </c>
      <c r="N323" s="121">
        <f t="shared" si="192"/>
        <v>0</v>
      </c>
      <c r="O323" s="121">
        <f t="shared" si="193"/>
        <v>0</v>
      </c>
      <c r="P323" s="123">
        <f t="shared" si="194"/>
        <v>0</v>
      </c>
    </row>
    <row r="324" spans="1:16" ht="13.8" thickBot="1" x14ac:dyDescent="0.25">
      <c r="A324" s="110">
        <v>9</v>
      </c>
      <c r="B324" s="106" t="s">
        <v>60</v>
      </c>
      <c r="C324" s="100" t="s">
        <v>103</v>
      </c>
      <c r="D324" s="106" t="s">
        <v>68</v>
      </c>
      <c r="E324" s="112">
        <v>1</v>
      </c>
      <c r="F324" s="120"/>
      <c r="G324" s="121"/>
      <c r="H324" s="122">
        <f t="shared" ref="H324" si="199">ROUND(F324*G324,2)</f>
        <v>0</v>
      </c>
      <c r="I324" s="121"/>
      <c r="J324" s="121"/>
      <c r="K324" s="179">
        <f t="shared" si="189"/>
        <v>0</v>
      </c>
      <c r="L324" s="185">
        <f t="shared" si="190"/>
        <v>0</v>
      </c>
      <c r="M324" s="156">
        <f t="shared" si="191"/>
        <v>0</v>
      </c>
      <c r="N324" s="156">
        <f t="shared" si="192"/>
        <v>0</v>
      </c>
      <c r="O324" s="156">
        <f t="shared" si="193"/>
        <v>0</v>
      </c>
      <c r="P324" s="157">
        <f t="shared" si="194"/>
        <v>0</v>
      </c>
    </row>
    <row r="325" spans="1:16" ht="10.8" thickBot="1" x14ac:dyDescent="0.25">
      <c r="A325" s="285" t="s">
        <v>700</v>
      </c>
      <c r="B325" s="286"/>
      <c r="C325" s="286"/>
      <c r="D325" s="286"/>
      <c r="E325" s="286"/>
      <c r="F325" s="286"/>
      <c r="G325" s="286"/>
      <c r="H325" s="286"/>
      <c r="I325" s="286"/>
      <c r="J325" s="286"/>
      <c r="K325" s="287"/>
      <c r="L325" s="69">
        <f>SUM(L14:L324)</f>
        <v>0</v>
      </c>
      <c r="M325" s="70">
        <f>SUM(M14:M324)</f>
        <v>0</v>
      </c>
      <c r="N325" s="70">
        <f>SUM(N14:N324)</f>
        <v>0</v>
      </c>
      <c r="O325" s="70">
        <f>SUM(O14:O324)</f>
        <v>0</v>
      </c>
      <c r="P325" s="71">
        <f>SUM(P14:P324)</f>
        <v>0</v>
      </c>
    </row>
    <row r="326" spans="1:16" x14ac:dyDescent="0.2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</row>
    <row r="327" spans="1:16" x14ac:dyDescent="0.2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</row>
    <row r="328" spans="1:16" x14ac:dyDescent="0.2">
      <c r="A328" s="1" t="s">
        <v>14</v>
      </c>
      <c r="B328" s="17"/>
      <c r="C328" s="284">
        <f>'Kops a'!C37:H37</f>
        <v>0</v>
      </c>
      <c r="D328" s="284"/>
      <c r="E328" s="284"/>
      <c r="F328" s="284"/>
      <c r="G328" s="284"/>
      <c r="H328" s="284"/>
      <c r="I328" s="17"/>
      <c r="J328" s="17"/>
      <c r="K328" s="17"/>
      <c r="L328" s="17"/>
      <c r="M328" s="17"/>
      <c r="N328" s="17"/>
      <c r="O328" s="17"/>
      <c r="P328" s="17"/>
    </row>
    <row r="329" spans="1:16" x14ac:dyDescent="0.2">
      <c r="A329" s="17"/>
      <c r="B329" s="17"/>
      <c r="C329" s="219" t="s">
        <v>15</v>
      </c>
      <c r="D329" s="219"/>
      <c r="E329" s="219"/>
      <c r="F329" s="219"/>
      <c r="G329" s="219"/>
      <c r="H329" s="219"/>
      <c r="I329" s="17"/>
      <c r="J329" s="17"/>
      <c r="K329" s="17"/>
      <c r="L329" s="17"/>
      <c r="M329" s="17"/>
      <c r="N329" s="17"/>
      <c r="O329" s="17"/>
      <c r="P329" s="17"/>
    </row>
    <row r="330" spans="1:16" x14ac:dyDescent="0.2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</row>
    <row r="331" spans="1:16" x14ac:dyDescent="0.2">
      <c r="A331" s="88" t="str">
        <f>'Kops a'!A40</f>
        <v xml:space="preserve">Tāme sastādīta </v>
      </c>
      <c r="B331" s="89"/>
      <c r="C331" s="89"/>
      <c r="D331" s="89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</row>
    <row r="332" spans="1:16" x14ac:dyDescent="0.2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</row>
    <row r="333" spans="1:16" x14ac:dyDescent="0.2">
      <c r="A333" s="1" t="s">
        <v>37</v>
      </c>
      <c r="B333" s="17"/>
      <c r="C333" s="284">
        <f>'Kops a'!C42:H42</f>
        <v>0</v>
      </c>
      <c r="D333" s="284"/>
      <c r="E333" s="284"/>
      <c r="F333" s="284"/>
      <c r="G333" s="284"/>
      <c r="H333" s="284"/>
      <c r="I333" s="17"/>
      <c r="J333" s="17"/>
      <c r="K333" s="17"/>
      <c r="L333" s="17"/>
      <c r="M333" s="17"/>
      <c r="N333" s="17"/>
      <c r="O333" s="17"/>
      <c r="P333" s="17"/>
    </row>
    <row r="334" spans="1:16" x14ac:dyDescent="0.2">
      <c r="A334" s="17"/>
      <c r="B334" s="17"/>
      <c r="C334" s="219" t="s">
        <v>15</v>
      </c>
      <c r="D334" s="219"/>
      <c r="E334" s="219"/>
      <c r="F334" s="219"/>
      <c r="G334" s="219"/>
      <c r="H334" s="219"/>
      <c r="I334" s="17"/>
      <c r="J334" s="17"/>
      <c r="K334" s="17"/>
      <c r="L334" s="17"/>
      <c r="M334" s="17"/>
      <c r="N334" s="17"/>
      <c r="O334" s="17"/>
      <c r="P334" s="17"/>
    </row>
    <row r="335" spans="1:16" x14ac:dyDescent="0.2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</row>
    <row r="336" spans="1:16" x14ac:dyDescent="0.2">
      <c r="A336" s="88" t="s">
        <v>54</v>
      </c>
      <c r="B336" s="89"/>
      <c r="C336" s="93">
        <f>'Kops a'!C45</f>
        <v>0</v>
      </c>
      <c r="D336" s="50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</row>
    <row r="337" spans="1:16" x14ac:dyDescent="0.2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</row>
  </sheetData>
  <mergeCells count="24">
    <mergeCell ref="C334:H334"/>
    <mergeCell ref="C4:I4"/>
    <mergeCell ref="F12:K12"/>
    <mergeCell ref="J9:M9"/>
    <mergeCell ref="D8:L8"/>
    <mergeCell ref="A325:K325"/>
    <mergeCell ref="C328:H328"/>
    <mergeCell ref="C329:H329"/>
    <mergeCell ref="C333:H333"/>
    <mergeCell ref="A12:A13"/>
    <mergeCell ref="B12:B13"/>
    <mergeCell ref="C12:C13"/>
    <mergeCell ref="A9:F9"/>
    <mergeCell ref="Q277:U297"/>
    <mergeCell ref="D12:D13"/>
    <mergeCell ref="E12:E13"/>
    <mergeCell ref="L12:P12"/>
    <mergeCell ref="C2:I2"/>
    <mergeCell ref="C3:I3"/>
    <mergeCell ref="D5:L5"/>
    <mergeCell ref="D6:L6"/>
    <mergeCell ref="D7:L7"/>
    <mergeCell ref="R115:AA115"/>
    <mergeCell ref="N9:O9"/>
  </mergeCells>
  <conditionalFormatting sqref="C104:C134 I14:J134 A14:B134 D14:G134 I136:J217 A136:G204 B218 I219:J324 B219:G224 A205:A224 B205:G217 A225:G230 A232:G244 A231:B231 D231:G231 A246:G263 A245:B245 D245:G245 A265:G282 A264:B264 D264:G264 A284:G324 A283:B283 D283:G283">
    <cfRule type="cellIs" dxfId="251" priority="54" operator="equal">
      <formula>0</formula>
    </cfRule>
  </conditionalFormatting>
  <conditionalFormatting sqref="N9:O9 H14:H134 K14:P134 K136:P217 H136:H217 H219:H324 K219:P324">
    <cfRule type="cellIs" dxfId="250" priority="55" operator="equal">
      <formula>0</formula>
    </cfRule>
  </conditionalFormatting>
  <conditionalFormatting sqref="A9:F9">
    <cfRule type="containsText" dxfId="249" priority="52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248" priority="51" operator="equal">
      <formula>0</formula>
    </cfRule>
  </conditionalFormatting>
  <conditionalFormatting sqref="O10">
    <cfRule type="cellIs" dxfId="247" priority="50" operator="equal">
      <formula>"20__. gada __. _________"</formula>
    </cfRule>
  </conditionalFormatting>
  <conditionalFormatting sqref="A325:K325">
    <cfRule type="containsText" dxfId="246" priority="49" operator="containsText" text="Tiešās izmaksas kopā, t. sk. darba devēja sociālais nodoklis __.__% ">
      <formula>NOT(ISERROR(SEARCH("Tiešās izmaksas kopā, t. sk. darba devēja sociālais nodoklis __.__% ",A325)))</formula>
    </cfRule>
  </conditionalFormatting>
  <conditionalFormatting sqref="L325:P325">
    <cfRule type="cellIs" dxfId="245" priority="44" operator="equal">
      <formula>0</formula>
    </cfRule>
  </conditionalFormatting>
  <conditionalFormatting sqref="C4:I4">
    <cfRule type="cellIs" dxfId="244" priority="43" operator="equal">
      <formula>0</formula>
    </cfRule>
  </conditionalFormatting>
  <conditionalFormatting sqref="D5:L8">
    <cfRule type="cellIs" dxfId="243" priority="39" operator="equal">
      <formula>0</formula>
    </cfRule>
  </conditionalFormatting>
  <conditionalFormatting sqref="C14:C102">
    <cfRule type="cellIs" dxfId="242" priority="37" operator="equal">
      <formula>0</formula>
    </cfRule>
  </conditionalFormatting>
  <conditionalFormatting sqref="P10">
    <cfRule type="cellIs" dxfId="241" priority="35" operator="equal">
      <formula>"20__. gada __. _________"</formula>
    </cfRule>
  </conditionalFormatting>
  <conditionalFormatting sqref="C333:H333">
    <cfRule type="cellIs" dxfId="240" priority="32" operator="equal">
      <formula>0</formula>
    </cfRule>
  </conditionalFormatting>
  <conditionalFormatting sqref="C328:H328">
    <cfRule type="cellIs" dxfId="239" priority="31" operator="equal">
      <formula>0</formula>
    </cfRule>
  </conditionalFormatting>
  <conditionalFormatting sqref="C333:H333 C336 C328:H328">
    <cfRule type="cellIs" dxfId="238" priority="30" operator="equal">
      <formula>0</formula>
    </cfRule>
  </conditionalFormatting>
  <conditionalFormatting sqref="D1">
    <cfRule type="cellIs" dxfId="237" priority="29" operator="equal">
      <formula>0</formula>
    </cfRule>
  </conditionalFormatting>
  <conditionalFormatting sqref="C103">
    <cfRule type="cellIs" dxfId="236" priority="28" operator="equal">
      <formula>0</formula>
    </cfRule>
  </conditionalFormatting>
  <conditionalFormatting sqref="I135:J135 A135:G135">
    <cfRule type="cellIs" dxfId="235" priority="26" operator="equal">
      <formula>0</formula>
    </cfRule>
  </conditionalFormatting>
  <conditionalFormatting sqref="H218">
    <cfRule type="cellIs" dxfId="234" priority="11" operator="equal">
      <formula>0</formula>
    </cfRule>
  </conditionalFormatting>
  <conditionalFormatting sqref="C218">
    <cfRule type="cellIs" dxfId="233" priority="10" operator="equal">
      <formula>0</formula>
    </cfRule>
  </conditionalFormatting>
  <conditionalFormatting sqref="I218">
    <cfRule type="cellIs" dxfId="232" priority="6" operator="equal">
      <formula>0</formula>
    </cfRule>
  </conditionalFormatting>
  <conditionalFormatting sqref="D218:E218">
    <cfRule type="cellIs" dxfId="231" priority="9" operator="equal">
      <formula>0</formula>
    </cfRule>
  </conditionalFormatting>
  <conditionalFormatting sqref="F218:G218">
    <cfRule type="cellIs" dxfId="230" priority="8" operator="equal">
      <formula>0</formula>
    </cfRule>
  </conditionalFormatting>
  <conditionalFormatting sqref="J218">
    <cfRule type="cellIs" dxfId="229" priority="7" operator="equal">
      <formula>0</formula>
    </cfRule>
  </conditionalFormatting>
  <conditionalFormatting sqref="K218:P218">
    <cfRule type="cellIs" dxfId="228" priority="5" operator="equal">
      <formula>0</formula>
    </cfRule>
  </conditionalFormatting>
  <conditionalFormatting sqref="C231">
    <cfRule type="cellIs" dxfId="227" priority="4" operator="equal">
      <formula>0</formula>
    </cfRule>
  </conditionalFormatting>
  <conditionalFormatting sqref="C245">
    <cfRule type="cellIs" dxfId="226" priority="3" operator="equal">
      <formula>0</formula>
    </cfRule>
  </conditionalFormatting>
  <conditionalFormatting sqref="C264">
    <cfRule type="cellIs" dxfId="225" priority="2" operator="equal">
      <formula>0</formula>
    </cfRule>
  </conditionalFormatting>
  <conditionalFormatting sqref="C283">
    <cfRule type="cellIs" dxfId="224" priority="1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4" operator="containsText" id="{A5F45D83-914D-4306-B26D-4B74C3C819FC}">
            <xm:f>NOT(ISERROR(SEARCH("Tāme sastādīta ____. gada ___. ______________",A331)))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A331</xm:sqref>
        </x14:conditionalFormatting>
        <x14:conditionalFormatting xmlns:xm="http://schemas.microsoft.com/office/excel/2006/main">
          <x14:cfRule type="containsText" priority="33" operator="containsText" id="{A2E03CF5-E14D-4A31-8C34-6550548A72DB}">
            <xm:f>NOT(ISERROR(SEARCH("Sertifikāta Nr. _________________________________",A336)))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A336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179"/>
  <sheetViews>
    <sheetView topLeftCell="A160" workbookViewId="0">
      <selection activeCell="A9" sqref="A9:F9"/>
    </sheetView>
  </sheetViews>
  <sheetFormatPr defaultColWidth="9.109375" defaultRowHeight="10.199999999999999" x14ac:dyDescent="0.2"/>
  <cols>
    <col min="1" max="1" width="4.5546875" style="1" customWidth="1"/>
    <col min="2" max="2" width="9.44140625" style="1" bestFit="1" customWidth="1"/>
    <col min="3" max="3" width="38.44140625" style="1" customWidth="1"/>
    <col min="4" max="4" width="5.88671875" style="1" customWidth="1"/>
    <col min="5" max="5" width="8.6640625" style="1" customWidth="1"/>
    <col min="6" max="6" width="5.44140625" style="1" customWidth="1"/>
    <col min="7" max="7" width="4.88671875" style="1" customWidth="1"/>
    <col min="8" max="10" width="6.6640625" style="1" customWidth="1"/>
    <col min="11" max="11" width="7" style="1" customWidth="1"/>
    <col min="12" max="15" width="7.6640625" style="1" customWidth="1"/>
    <col min="16" max="16" width="9" style="1" customWidth="1"/>
    <col min="17" max="16384" width="9.109375" style="1"/>
  </cols>
  <sheetData>
    <row r="1" spans="1:21" x14ac:dyDescent="0.2">
      <c r="A1" s="23"/>
      <c r="B1" s="23"/>
      <c r="C1" s="27" t="s">
        <v>38</v>
      </c>
      <c r="D1" s="51">
        <f>'Kops a'!A21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21" x14ac:dyDescent="0.2">
      <c r="A2" s="29"/>
      <c r="B2" s="29"/>
      <c r="C2" s="267" t="s">
        <v>411</v>
      </c>
      <c r="D2" s="267"/>
      <c r="E2" s="267"/>
      <c r="F2" s="267"/>
      <c r="G2" s="267"/>
      <c r="H2" s="267"/>
      <c r="I2" s="267"/>
      <c r="J2" s="29"/>
    </row>
    <row r="3" spans="1:21" x14ac:dyDescent="0.2">
      <c r="A3" s="30"/>
      <c r="B3" s="30"/>
      <c r="C3" s="228" t="s">
        <v>17</v>
      </c>
      <c r="D3" s="228"/>
      <c r="E3" s="228"/>
      <c r="F3" s="228"/>
      <c r="G3" s="228"/>
      <c r="H3" s="228"/>
      <c r="I3" s="228"/>
      <c r="J3" s="30"/>
    </row>
    <row r="4" spans="1:21" x14ac:dyDescent="0.2">
      <c r="A4" s="30"/>
      <c r="B4" s="30"/>
      <c r="C4" s="268" t="s">
        <v>52</v>
      </c>
      <c r="D4" s="268"/>
      <c r="E4" s="268"/>
      <c r="F4" s="268"/>
      <c r="G4" s="268"/>
      <c r="H4" s="268"/>
      <c r="I4" s="268"/>
      <c r="J4" s="30"/>
    </row>
    <row r="5" spans="1:21" x14ac:dyDescent="0.2">
      <c r="A5" s="23"/>
      <c r="B5" s="23"/>
      <c r="C5" s="27" t="s">
        <v>5</v>
      </c>
      <c r="D5" s="281" t="str">
        <f>'Kops a'!D6</f>
        <v>DAUDZDZĪVOKĻU DZĪVOJAMĀ ĒKA</v>
      </c>
      <c r="E5" s="281"/>
      <c r="F5" s="281"/>
      <c r="G5" s="281"/>
      <c r="H5" s="281"/>
      <c r="I5" s="281"/>
      <c r="J5" s="281"/>
      <c r="K5" s="281"/>
      <c r="L5" s="281"/>
      <c r="M5" s="17"/>
      <c r="N5" s="17"/>
      <c r="O5" s="17"/>
      <c r="P5" s="17"/>
    </row>
    <row r="6" spans="1:21" x14ac:dyDescent="0.2">
      <c r="A6" s="23"/>
      <c r="B6" s="23"/>
      <c r="C6" s="27" t="s">
        <v>6</v>
      </c>
      <c r="D6" s="281" t="str">
        <f>'Kops a'!D7</f>
        <v>ENERGOEFEKTIVITĀTES PAAUGSTINĀŠANA DAUDZDZĪVOKĻU DZĪVOJAMAI ĒKAI</v>
      </c>
      <c r="E6" s="281"/>
      <c r="F6" s="281"/>
      <c r="G6" s="281"/>
      <c r="H6" s="281"/>
      <c r="I6" s="281"/>
      <c r="J6" s="281"/>
      <c r="K6" s="281"/>
      <c r="L6" s="281"/>
      <c r="M6" s="17"/>
      <c r="N6" s="17"/>
      <c r="O6" s="17"/>
      <c r="P6" s="17"/>
    </row>
    <row r="7" spans="1:21" x14ac:dyDescent="0.2">
      <c r="A7" s="23"/>
      <c r="B7" s="23"/>
      <c r="C7" s="27" t="s">
        <v>7</v>
      </c>
      <c r="D7" s="281" t="str">
        <f>'Kops a'!D8</f>
        <v>Pasta iela 34, Jelgava, ēkas kad. apz. 0900 001 0177 001</v>
      </c>
      <c r="E7" s="281"/>
      <c r="F7" s="281"/>
      <c r="G7" s="281"/>
      <c r="H7" s="281"/>
      <c r="I7" s="281"/>
      <c r="J7" s="281"/>
      <c r="K7" s="281"/>
      <c r="L7" s="281"/>
      <c r="M7" s="17"/>
      <c r="N7" s="17"/>
      <c r="O7" s="17"/>
      <c r="P7" s="17"/>
    </row>
    <row r="8" spans="1:21" x14ac:dyDescent="0.2">
      <c r="A8" s="23"/>
      <c r="B8" s="23"/>
      <c r="C8" s="4" t="s">
        <v>20</v>
      </c>
      <c r="D8" s="281">
        <f>'Kops a'!D9</f>
        <v>0</v>
      </c>
      <c r="E8" s="281"/>
      <c r="F8" s="281"/>
      <c r="G8" s="281"/>
      <c r="H8" s="281"/>
      <c r="I8" s="281"/>
      <c r="J8" s="281"/>
      <c r="K8" s="281"/>
      <c r="L8" s="281"/>
      <c r="M8" s="17"/>
      <c r="N8" s="17"/>
      <c r="O8" s="17"/>
      <c r="P8" s="17"/>
    </row>
    <row r="9" spans="1:21" ht="11.25" customHeight="1" x14ac:dyDescent="0.2">
      <c r="A9" s="269" t="s">
        <v>702</v>
      </c>
      <c r="B9" s="269"/>
      <c r="C9" s="269"/>
      <c r="D9" s="269"/>
      <c r="E9" s="269"/>
      <c r="F9" s="269"/>
      <c r="G9" s="31"/>
      <c r="H9" s="31"/>
      <c r="I9" s="31"/>
      <c r="J9" s="273" t="s">
        <v>39</v>
      </c>
      <c r="K9" s="273"/>
      <c r="L9" s="273"/>
      <c r="M9" s="273"/>
      <c r="N9" s="280">
        <f>P167</f>
        <v>0</v>
      </c>
      <c r="O9" s="280"/>
      <c r="P9" s="31"/>
    </row>
    <row r="10" spans="1:21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1"/>
      <c r="P10" s="90" t="str">
        <f>A173</f>
        <v xml:space="preserve">Tāme sastādīta </v>
      </c>
    </row>
    <row r="11" spans="1:21" ht="10.8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21" x14ac:dyDescent="0.2">
      <c r="A12" s="239" t="s">
        <v>23</v>
      </c>
      <c r="B12" s="275" t="s">
        <v>40</v>
      </c>
      <c r="C12" s="271" t="s">
        <v>41</v>
      </c>
      <c r="D12" s="278" t="s">
        <v>42</v>
      </c>
      <c r="E12" s="282" t="s">
        <v>43</v>
      </c>
      <c r="F12" s="270" t="s">
        <v>44</v>
      </c>
      <c r="G12" s="271"/>
      <c r="H12" s="271"/>
      <c r="I12" s="271"/>
      <c r="J12" s="271"/>
      <c r="K12" s="272"/>
      <c r="L12" s="270" t="s">
        <v>45</v>
      </c>
      <c r="M12" s="271"/>
      <c r="N12" s="271"/>
      <c r="O12" s="271"/>
      <c r="P12" s="272"/>
    </row>
    <row r="13" spans="1:21" ht="126.75" customHeight="1" thickBot="1" x14ac:dyDescent="0.25">
      <c r="A13" s="274"/>
      <c r="B13" s="276"/>
      <c r="C13" s="277"/>
      <c r="D13" s="279"/>
      <c r="E13" s="283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2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2" t="s">
        <v>51</v>
      </c>
    </row>
    <row r="14" spans="1:21" ht="13.2" x14ac:dyDescent="0.2">
      <c r="A14" s="101"/>
      <c r="B14" s="102"/>
      <c r="C14" s="103" t="s">
        <v>412</v>
      </c>
      <c r="D14" s="104"/>
      <c r="E14" s="105"/>
      <c r="F14" s="138"/>
      <c r="G14" s="139"/>
      <c r="H14" s="139"/>
      <c r="I14" s="139"/>
      <c r="J14" s="139"/>
      <c r="K14" s="190"/>
      <c r="L14" s="191"/>
      <c r="M14" s="139"/>
      <c r="N14" s="139"/>
      <c r="O14" s="139"/>
      <c r="P14" s="150"/>
    </row>
    <row r="15" spans="1:21" ht="26.4" x14ac:dyDescent="0.2">
      <c r="A15" s="110">
        <v>1</v>
      </c>
      <c r="B15" s="106" t="s">
        <v>60</v>
      </c>
      <c r="C15" s="111" t="s">
        <v>413</v>
      </c>
      <c r="D15" s="106" t="s">
        <v>73</v>
      </c>
      <c r="E15" s="112">
        <v>30</v>
      </c>
      <c r="F15" s="120"/>
      <c r="G15" s="121"/>
      <c r="H15" s="122">
        <f>ROUND(F15*G15,2)</f>
        <v>0</v>
      </c>
      <c r="I15" s="121"/>
      <c r="J15" s="121"/>
      <c r="K15" s="179">
        <f>ROUND(H15+J15+I15,2)</f>
        <v>0</v>
      </c>
      <c r="L15" s="184">
        <f>ROUND(E15*F15,2)</f>
        <v>0</v>
      </c>
      <c r="M15" s="121">
        <f>ROUND(E15*H15,2)</f>
        <v>0</v>
      </c>
      <c r="N15" s="121">
        <f>ROUND(E15*I15,2)</f>
        <v>0</v>
      </c>
      <c r="O15" s="121">
        <f>ROUND(E15*J15,2)</f>
        <v>0</v>
      </c>
      <c r="P15" s="123">
        <f t="shared" ref="P15:P33" si="0">ROUND(O15+N15+M15,2)</f>
        <v>0</v>
      </c>
      <c r="R15" s="148"/>
      <c r="S15" s="148"/>
      <c r="T15" s="148"/>
      <c r="U15" s="148"/>
    </row>
    <row r="16" spans="1:21" ht="13.2" x14ac:dyDescent="0.2">
      <c r="A16" s="113">
        <v>2</v>
      </c>
      <c r="B16" s="134" t="s">
        <v>60</v>
      </c>
      <c r="C16" s="108" t="s">
        <v>414</v>
      </c>
      <c r="D16" s="135" t="s">
        <v>64</v>
      </c>
      <c r="E16" s="109">
        <v>6</v>
      </c>
      <c r="F16" s="120"/>
      <c r="G16" s="121"/>
      <c r="H16" s="122">
        <f>ROUND(F16*G16,2)</f>
        <v>0</v>
      </c>
      <c r="I16" s="121"/>
      <c r="J16" s="121"/>
      <c r="K16" s="179">
        <f>ROUND(H16+J16+I16,2)</f>
        <v>0</v>
      </c>
      <c r="L16" s="184">
        <f>ROUND(E16*F16,2)</f>
        <v>0</v>
      </c>
      <c r="M16" s="121">
        <f>ROUND(E16*H16,2)</f>
        <v>0</v>
      </c>
      <c r="N16" s="121">
        <f>ROUND(E16*I16,2)</f>
        <v>0</v>
      </c>
      <c r="O16" s="121">
        <f>ROUND(E16*J16,2)</f>
        <v>0</v>
      </c>
      <c r="P16" s="123">
        <f t="shared" si="0"/>
        <v>0</v>
      </c>
    </row>
    <row r="17" spans="1:25" ht="13.2" x14ac:dyDescent="0.2">
      <c r="A17" s="113">
        <v>3</v>
      </c>
      <c r="B17" s="134" t="s">
        <v>60</v>
      </c>
      <c r="C17" s="108" t="s">
        <v>415</v>
      </c>
      <c r="D17" s="135" t="s">
        <v>68</v>
      </c>
      <c r="E17" s="109">
        <v>1</v>
      </c>
      <c r="F17" s="120"/>
      <c r="G17" s="121"/>
      <c r="H17" s="122">
        <f>ROUND(F17*G17,2)</f>
        <v>0</v>
      </c>
      <c r="I17" s="121"/>
      <c r="J17" s="121"/>
      <c r="K17" s="179">
        <f>ROUND(H17+J17+I17,2)</f>
        <v>0</v>
      </c>
      <c r="L17" s="184">
        <f>ROUND(E17*F17,2)</f>
        <v>0</v>
      </c>
      <c r="M17" s="121">
        <f>ROUND(E17*H17,2)</f>
        <v>0</v>
      </c>
      <c r="N17" s="121">
        <f>ROUND(E17*I17,2)</f>
        <v>0</v>
      </c>
      <c r="O17" s="121">
        <f>ROUND(E17*J17,2)</f>
        <v>0</v>
      </c>
      <c r="P17" s="123">
        <f t="shared" si="0"/>
        <v>0</v>
      </c>
    </row>
    <row r="18" spans="1:25" ht="13.2" x14ac:dyDescent="0.2">
      <c r="A18" s="113">
        <v>4</v>
      </c>
      <c r="B18" s="134" t="s">
        <v>60</v>
      </c>
      <c r="C18" s="108" t="s">
        <v>86</v>
      </c>
      <c r="D18" s="135" t="s">
        <v>87</v>
      </c>
      <c r="E18" s="109">
        <v>8</v>
      </c>
      <c r="F18" s="120"/>
      <c r="G18" s="121"/>
      <c r="H18" s="122">
        <f>ROUND(F18*G18,2)</f>
        <v>0</v>
      </c>
      <c r="I18" s="121"/>
      <c r="J18" s="121"/>
      <c r="K18" s="179">
        <f>ROUND(H18+J18+I18,2)</f>
        <v>0</v>
      </c>
      <c r="L18" s="184">
        <f>ROUND(E18*F18,2)</f>
        <v>0</v>
      </c>
      <c r="M18" s="121">
        <f>ROUND(E18*H18,2)</f>
        <v>0</v>
      </c>
      <c r="N18" s="121">
        <f>ROUND(E18*I18,2)</f>
        <v>0</v>
      </c>
      <c r="O18" s="121">
        <f>ROUND(E18*J18,2)</f>
        <v>0</v>
      </c>
      <c r="P18" s="123">
        <f t="shared" si="0"/>
        <v>0</v>
      </c>
    </row>
    <row r="19" spans="1:25" ht="26.4" x14ac:dyDescent="0.2">
      <c r="A19" s="113">
        <v>5</v>
      </c>
      <c r="B19" s="134" t="s">
        <v>60</v>
      </c>
      <c r="C19" s="108" t="s">
        <v>88</v>
      </c>
      <c r="D19" s="135" t="s">
        <v>89</v>
      </c>
      <c r="E19" s="109">
        <f>E15*0.03</f>
        <v>0.89999999999999991</v>
      </c>
      <c r="F19" s="120"/>
      <c r="G19" s="121"/>
      <c r="H19" s="122"/>
      <c r="I19" s="121"/>
      <c r="J19" s="121"/>
      <c r="K19" s="179">
        <f>ROUND(H19+J19+I19,2)</f>
        <v>0</v>
      </c>
      <c r="L19" s="184">
        <f>ROUND(E19*F19,2)</f>
        <v>0</v>
      </c>
      <c r="M19" s="121">
        <f>ROUND(E19*H19,2)</f>
        <v>0</v>
      </c>
      <c r="N19" s="121">
        <f>ROUND(E19*I19,2)</f>
        <v>0</v>
      </c>
      <c r="O19" s="121">
        <f>ROUND(E19*J19,2)</f>
        <v>0</v>
      </c>
      <c r="P19" s="123">
        <f t="shared" si="0"/>
        <v>0</v>
      </c>
    </row>
    <row r="20" spans="1:25" ht="13.2" x14ac:dyDescent="0.2">
      <c r="A20" s="140"/>
      <c r="B20" s="107"/>
      <c r="C20" s="141" t="s">
        <v>416</v>
      </c>
      <c r="D20" s="142"/>
      <c r="E20" s="143"/>
      <c r="F20" s="144"/>
      <c r="G20" s="145"/>
      <c r="H20" s="145"/>
      <c r="I20" s="145"/>
      <c r="J20" s="145"/>
      <c r="K20" s="188"/>
      <c r="L20" s="189"/>
      <c r="M20" s="145"/>
      <c r="N20" s="145"/>
      <c r="O20" s="145"/>
      <c r="P20" s="153"/>
    </row>
    <row r="21" spans="1:25" ht="39.6" x14ac:dyDescent="0.2">
      <c r="A21" s="110">
        <v>1</v>
      </c>
      <c r="B21" s="106" t="s">
        <v>60</v>
      </c>
      <c r="C21" s="111" t="s">
        <v>417</v>
      </c>
      <c r="D21" s="106" t="s">
        <v>73</v>
      </c>
      <c r="E21" s="112">
        <v>286.39999999999998</v>
      </c>
      <c r="F21" s="120"/>
      <c r="G21" s="121"/>
      <c r="H21" s="122">
        <f t="shared" ref="H21:H26" si="1">ROUND(F21*G21,2)</f>
        <v>0</v>
      </c>
      <c r="I21" s="121"/>
      <c r="J21" s="121"/>
      <c r="K21" s="179">
        <f>ROUND(H21+J21+I21,2)</f>
        <v>0</v>
      </c>
      <c r="L21" s="184">
        <f>ROUND(E21*F21,2)</f>
        <v>0</v>
      </c>
      <c r="M21" s="121">
        <f>ROUND(E21*H21,2)</f>
        <v>0</v>
      </c>
      <c r="N21" s="121">
        <f>ROUND(E21*I21,2)</f>
        <v>0</v>
      </c>
      <c r="O21" s="121">
        <f>ROUND(E21*J21,2)</f>
        <v>0</v>
      </c>
      <c r="P21" s="123">
        <f t="shared" si="0"/>
        <v>0</v>
      </c>
    </row>
    <row r="22" spans="1:25" ht="26.4" x14ac:dyDescent="0.2">
      <c r="A22" s="110">
        <v>2</v>
      </c>
      <c r="B22" s="106" t="s">
        <v>60</v>
      </c>
      <c r="C22" s="111" t="s">
        <v>418</v>
      </c>
      <c r="D22" s="106" t="s">
        <v>73</v>
      </c>
      <c r="E22" s="112">
        <v>51.36</v>
      </c>
      <c r="F22" s="120"/>
      <c r="G22" s="121"/>
      <c r="H22" s="122">
        <f t="shared" si="1"/>
        <v>0</v>
      </c>
      <c r="I22" s="121"/>
      <c r="J22" s="121"/>
      <c r="K22" s="179">
        <f t="shared" ref="K22:K38" si="2">ROUND(H22+J22+I22,2)</f>
        <v>0</v>
      </c>
      <c r="L22" s="184">
        <f t="shared" ref="L22:L38" si="3">ROUND(E22*F22,2)</f>
        <v>0</v>
      </c>
      <c r="M22" s="121">
        <f t="shared" ref="M22:M38" si="4">ROUND(E22*H22,2)</f>
        <v>0</v>
      </c>
      <c r="N22" s="121">
        <f t="shared" ref="N22:N38" si="5">ROUND(E22*I22,2)</f>
        <v>0</v>
      </c>
      <c r="O22" s="121">
        <f t="shared" ref="O22:O38" si="6">ROUND(E22*J22,2)</f>
        <v>0</v>
      </c>
      <c r="P22" s="123">
        <f t="shared" si="0"/>
        <v>0</v>
      </c>
    </row>
    <row r="23" spans="1:25" ht="39.6" x14ac:dyDescent="0.2">
      <c r="A23" s="110">
        <v>3</v>
      </c>
      <c r="B23" s="106" t="s">
        <v>60</v>
      </c>
      <c r="C23" s="111" t="s">
        <v>419</v>
      </c>
      <c r="D23" s="106" t="s">
        <v>73</v>
      </c>
      <c r="E23" s="154">
        <f>E21*0.05</f>
        <v>14.32</v>
      </c>
      <c r="F23" s="120"/>
      <c r="G23" s="121"/>
      <c r="H23" s="122">
        <f t="shared" si="1"/>
        <v>0</v>
      </c>
      <c r="I23" s="121"/>
      <c r="J23" s="121"/>
      <c r="K23" s="179">
        <f t="shared" si="2"/>
        <v>0</v>
      </c>
      <c r="L23" s="184">
        <f t="shared" si="3"/>
        <v>0</v>
      </c>
      <c r="M23" s="121">
        <f t="shared" si="4"/>
        <v>0</v>
      </c>
      <c r="N23" s="121">
        <f t="shared" si="5"/>
        <v>0</v>
      </c>
      <c r="O23" s="121">
        <f t="shared" si="6"/>
        <v>0</v>
      </c>
      <c r="P23" s="123">
        <f t="shared" si="0"/>
        <v>0</v>
      </c>
    </row>
    <row r="24" spans="1:25" ht="39.6" x14ac:dyDescent="0.2">
      <c r="A24" s="110">
        <v>4</v>
      </c>
      <c r="B24" s="106" t="s">
        <v>60</v>
      </c>
      <c r="C24" s="111" t="s">
        <v>420</v>
      </c>
      <c r="D24" s="106" t="s">
        <v>89</v>
      </c>
      <c r="E24" s="112">
        <v>2.71</v>
      </c>
      <c r="F24" s="120"/>
      <c r="G24" s="121"/>
      <c r="H24" s="122">
        <f t="shared" si="1"/>
        <v>0</v>
      </c>
      <c r="I24" s="121"/>
      <c r="J24" s="121"/>
      <c r="K24" s="179">
        <f t="shared" si="2"/>
        <v>0</v>
      </c>
      <c r="L24" s="184">
        <f t="shared" si="3"/>
        <v>0</v>
      </c>
      <c r="M24" s="121">
        <f t="shared" si="4"/>
        <v>0</v>
      </c>
      <c r="N24" s="121">
        <f t="shared" si="5"/>
        <v>0</v>
      </c>
      <c r="O24" s="121">
        <f t="shared" si="6"/>
        <v>0</v>
      </c>
      <c r="P24" s="123">
        <f t="shared" si="0"/>
        <v>0</v>
      </c>
    </row>
    <row r="25" spans="1:25" ht="13.2" x14ac:dyDescent="0.2">
      <c r="A25" s="110">
        <v>5</v>
      </c>
      <c r="B25" s="106" t="s">
        <v>60</v>
      </c>
      <c r="C25" s="111" t="s">
        <v>421</v>
      </c>
      <c r="D25" s="106" t="s">
        <v>73</v>
      </c>
      <c r="E25" s="112">
        <f>E21</f>
        <v>286.39999999999998</v>
      </c>
      <c r="F25" s="120"/>
      <c r="G25" s="121"/>
      <c r="H25" s="122">
        <f t="shared" si="1"/>
        <v>0</v>
      </c>
      <c r="I25" s="121"/>
      <c r="J25" s="121"/>
      <c r="K25" s="179">
        <f t="shared" si="2"/>
        <v>0</v>
      </c>
      <c r="L25" s="184">
        <f t="shared" si="3"/>
        <v>0</v>
      </c>
      <c r="M25" s="121">
        <f t="shared" si="4"/>
        <v>0</v>
      </c>
      <c r="N25" s="121">
        <f t="shared" si="5"/>
        <v>0</v>
      </c>
      <c r="O25" s="121">
        <f t="shared" si="6"/>
        <v>0</v>
      </c>
      <c r="P25" s="123">
        <f t="shared" si="0"/>
        <v>0</v>
      </c>
    </row>
    <row r="26" spans="1:25" ht="52.8" x14ac:dyDescent="0.2">
      <c r="A26" s="110">
        <v>6</v>
      </c>
      <c r="B26" s="106" t="s">
        <v>60</v>
      </c>
      <c r="C26" s="111" t="s">
        <v>422</v>
      </c>
      <c r="D26" s="106" t="s">
        <v>73</v>
      </c>
      <c r="E26" s="112">
        <v>399.96</v>
      </c>
      <c r="F26" s="120"/>
      <c r="G26" s="121"/>
      <c r="H26" s="122">
        <f t="shared" si="1"/>
        <v>0</v>
      </c>
      <c r="I26" s="121"/>
      <c r="J26" s="121"/>
      <c r="K26" s="179">
        <f t="shared" si="2"/>
        <v>0</v>
      </c>
      <c r="L26" s="184">
        <f t="shared" si="3"/>
        <v>0</v>
      </c>
      <c r="M26" s="121">
        <f t="shared" si="4"/>
        <v>0</v>
      </c>
      <c r="N26" s="121">
        <f t="shared" si="5"/>
        <v>0</v>
      </c>
      <c r="O26" s="121">
        <f t="shared" si="6"/>
        <v>0</v>
      </c>
      <c r="P26" s="123">
        <f t="shared" si="0"/>
        <v>0</v>
      </c>
    </row>
    <row r="27" spans="1:25" ht="26.4" x14ac:dyDescent="0.2">
      <c r="A27" s="110">
        <v>7</v>
      </c>
      <c r="B27" s="106"/>
      <c r="C27" s="99" t="s">
        <v>470</v>
      </c>
      <c r="D27" s="106" t="s">
        <v>73</v>
      </c>
      <c r="E27" s="112">
        <f>E26*1.2</f>
        <v>479.95199999999994</v>
      </c>
      <c r="F27" s="120"/>
      <c r="G27" s="121"/>
      <c r="H27" s="122"/>
      <c r="I27" s="121"/>
      <c r="J27" s="121"/>
      <c r="K27" s="179">
        <f t="shared" si="2"/>
        <v>0</v>
      </c>
      <c r="L27" s="184">
        <f t="shared" si="3"/>
        <v>0</v>
      </c>
      <c r="M27" s="121">
        <f t="shared" si="4"/>
        <v>0</v>
      </c>
      <c r="N27" s="121">
        <f t="shared" si="5"/>
        <v>0</v>
      </c>
      <c r="O27" s="121">
        <f t="shared" si="6"/>
        <v>0</v>
      </c>
      <c r="P27" s="123">
        <f t="shared" si="0"/>
        <v>0</v>
      </c>
    </row>
    <row r="28" spans="1:25" ht="13.2" x14ac:dyDescent="0.2">
      <c r="A28" s="110">
        <v>8</v>
      </c>
      <c r="B28" s="106"/>
      <c r="C28" s="99" t="s">
        <v>341</v>
      </c>
      <c r="D28" s="106" t="s">
        <v>99</v>
      </c>
      <c r="E28" s="112">
        <f>E26*0.3</f>
        <v>119.98799999999999</v>
      </c>
      <c r="F28" s="120"/>
      <c r="G28" s="121"/>
      <c r="H28" s="122"/>
      <c r="I28" s="121"/>
      <c r="J28" s="121"/>
      <c r="K28" s="179">
        <f t="shared" si="2"/>
        <v>0</v>
      </c>
      <c r="L28" s="184">
        <f t="shared" si="3"/>
        <v>0</v>
      </c>
      <c r="M28" s="121">
        <f t="shared" si="4"/>
        <v>0</v>
      </c>
      <c r="N28" s="121">
        <f t="shared" si="5"/>
        <v>0</v>
      </c>
      <c r="O28" s="121">
        <f t="shared" si="6"/>
        <v>0</v>
      </c>
      <c r="P28" s="123">
        <f t="shared" si="0"/>
        <v>0</v>
      </c>
    </row>
    <row r="29" spans="1:25" ht="13.2" x14ac:dyDescent="0.2">
      <c r="A29" s="110">
        <v>9</v>
      </c>
      <c r="B29" s="106"/>
      <c r="C29" s="99" t="s">
        <v>342</v>
      </c>
      <c r="D29" s="106" t="s">
        <v>343</v>
      </c>
      <c r="E29" s="154">
        <f>E26/50</f>
        <v>7.9991999999999992</v>
      </c>
      <c r="F29" s="120"/>
      <c r="G29" s="121"/>
      <c r="H29" s="122"/>
      <c r="I29" s="121"/>
      <c r="J29" s="121"/>
      <c r="K29" s="179">
        <f t="shared" si="2"/>
        <v>0</v>
      </c>
      <c r="L29" s="184">
        <f t="shared" si="3"/>
        <v>0</v>
      </c>
      <c r="M29" s="121">
        <f t="shared" si="4"/>
        <v>0</v>
      </c>
      <c r="N29" s="121">
        <f t="shared" si="5"/>
        <v>0</v>
      </c>
      <c r="O29" s="121">
        <f t="shared" si="6"/>
        <v>0</v>
      </c>
      <c r="P29" s="123">
        <f t="shared" si="0"/>
        <v>0</v>
      </c>
    </row>
    <row r="30" spans="1:25" ht="13.2" x14ac:dyDescent="0.2">
      <c r="A30" s="110">
        <v>10</v>
      </c>
      <c r="B30" s="106" t="s">
        <v>60</v>
      </c>
      <c r="C30" s="111" t="s">
        <v>423</v>
      </c>
      <c r="D30" s="106" t="s">
        <v>73</v>
      </c>
      <c r="E30" s="112">
        <v>15</v>
      </c>
      <c r="F30" s="120"/>
      <c r="G30" s="121"/>
      <c r="H30" s="122">
        <f>ROUND(F30*G30,2)</f>
        <v>0</v>
      </c>
      <c r="I30" s="121"/>
      <c r="J30" s="121"/>
      <c r="K30" s="179">
        <f t="shared" si="2"/>
        <v>0</v>
      </c>
      <c r="L30" s="184">
        <f t="shared" si="3"/>
        <v>0</v>
      </c>
      <c r="M30" s="121">
        <f t="shared" si="4"/>
        <v>0</v>
      </c>
      <c r="N30" s="121">
        <f t="shared" si="5"/>
        <v>0</v>
      </c>
      <c r="O30" s="121">
        <f t="shared" si="6"/>
        <v>0</v>
      </c>
      <c r="P30" s="123">
        <f t="shared" si="0"/>
        <v>0</v>
      </c>
      <c r="Q30" s="293"/>
      <c r="R30" s="294"/>
      <c r="S30" s="294"/>
      <c r="T30" s="294"/>
      <c r="U30" s="294"/>
      <c r="V30" s="294"/>
      <c r="W30" s="294"/>
      <c r="X30" s="294"/>
      <c r="Y30" s="294"/>
    </row>
    <row r="31" spans="1:25" ht="26.4" x14ac:dyDescent="0.2">
      <c r="A31" s="110">
        <v>11</v>
      </c>
      <c r="B31" s="106"/>
      <c r="C31" s="99" t="s">
        <v>470</v>
      </c>
      <c r="D31" s="106" t="s">
        <v>73</v>
      </c>
      <c r="E31" s="112">
        <f>E30*1.2</f>
        <v>18</v>
      </c>
      <c r="F31" s="120"/>
      <c r="G31" s="121"/>
      <c r="H31" s="122"/>
      <c r="I31" s="121"/>
      <c r="J31" s="121"/>
      <c r="K31" s="179">
        <f t="shared" si="2"/>
        <v>0</v>
      </c>
      <c r="L31" s="184">
        <f t="shared" si="3"/>
        <v>0</v>
      </c>
      <c r="M31" s="121">
        <f t="shared" si="4"/>
        <v>0</v>
      </c>
      <c r="N31" s="121">
        <f t="shared" si="5"/>
        <v>0</v>
      </c>
      <c r="O31" s="121">
        <f t="shared" si="6"/>
        <v>0</v>
      </c>
      <c r="P31" s="123">
        <f t="shared" si="0"/>
        <v>0</v>
      </c>
      <c r="R31" s="148"/>
      <c r="S31" s="148"/>
      <c r="T31" s="148"/>
    </row>
    <row r="32" spans="1:25" ht="13.2" x14ac:dyDescent="0.2">
      <c r="A32" s="110">
        <v>12</v>
      </c>
      <c r="B32" s="106"/>
      <c r="C32" s="99" t="s">
        <v>341</v>
      </c>
      <c r="D32" s="106" t="s">
        <v>99</v>
      </c>
      <c r="E32" s="112">
        <f>E30*0.3</f>
        <v>4.5</v>
      </c>
      <c r="F32" s="120"/>
      <c r="G32" s="121"/>
      <c r="H32" s="122"/>
      <c r="I32" s="121"/>
      <c r="J32" s="121"/>
      <c r="K32" s="179">
        <f t="shared" si="2"/>
        <v>0</v>
      </c>
      <c r="L32" s="184">
        <f t="shared" si="3"/>
        <v>0</v>
      </c>
      <c r="M32" s="121">
        <f t="shared" si="4"/>
        <v>0</v>
      </c>
      <c r="N32" s="121">
        <f t="shared" si="5"/>
        <v>0</v>
      </c>
      <c r="O32" s="121">
        <f t="shared" si="6"/>
        <v>0</v>
      </c>
      <c r="P32" s="123">
        <f t="shared" si="0"/>
        <v>0</v>
      </c>
    </row>
    <row r="33" spans="1:25" ht="13.2" x14ac:dyDescent="0.2">
      <c r="A33" s="110">
        <v>13</v>
      </c>
      <c r="B33" s="106"/>
      <c r="C33" s="99" t="s">
        <v>342</v>
      </c>
      <c r="D33" s="106" t="s">
        <v>343</v>
      </c>
      <c r="E33" s="154">
        <f>E30/50</f>
        <v>0.3</v>
      </c>
      <c r="F33" s="120"/>
      <c r="G33" s="121"/>
      <c r="H33" s="122"/>
      <c r="I33" s="121"/>
      <c r="J33" s="121"/>
      <c r="K33" s="179">
        <f t="shared" si="2"/>
        <v>0</v>
      </c>
      <c r="L33" s="184">
        <f t="shared" si="3"/>
        <v>0</v>
      </c>
      <c r="M33" s="121">
        <f t="shared" si="4"/>
        <v>0</v>
      </c>
      <c r="N33" s="121">
        <f t="shared" si="5"/>
        <v>0</v>
      </c>
      <c r="O33" s="121">
        <f t="shared" si="6"/>
        <v>0</v>
      </c>
      <c r="P33" s="123">
        <f t="shared" si="0"/>
        <v>0</v>
      </c>
    </row>
    <row r="34" spans="1:25" ht="39.6" x14ac:dyDescent="0.2">
      <c r="A34" s="110">
        <v>14</v>
      </c>
      <c r="B34" s="106" t="s">
        <v>60</v>
      </c>
      <c r="C34" s="111" t="s">
        <v>424</v>
      </c>
      <c r="D34" s="106" t="s">
        <v>64</v>
      </c>
      <c r="E34" s="112">
        <v>2</v>
      </c>
      <c r="F34" s="120"/>
      <c r="G34" s="121"/>
      <c r="H34" s="122">
        <f>ROUND(F34*G34,2)</f>
        <v>0</v>
      </c>
      <c r="I34" s="121"/>
      <c r="J34" s="121"/>
      <c r="K34" s="179">
        <f t="shared" si="2"/>
        <v>0</v>
      </c>
      <c r="L34" s="184">
        <f t="shared" si="3"/>
        <v>0</v>
      </c>
      <c r="M34" s="121">
        <f t="shared" si="4"/>
        <v>0</v>
      </c>
      <c r="N34" s="121">
        <f t="shared" si="5"/>
        <v>0</v>
      </c>
      <c r="O34" s="121">
        <f t="shared" si="6"/>
        <v>0</v>
      </c>
      <c r="P34" s="123">
        <f>ROUND(O34+N34+M34,2)</f>
        <v>0</v>
      </c>
    </row>
    <row r="35" spans="1:25" ht="66" x14ac:dyDescent="0.2">
      <c r="A35" s="110">
        <v>15</v>
      </c>
      <c r="B35" s="106" t="s">
        <v>60</v>
      </c>
      <c r="C35" s="111" t="s">
        <v>425</v>
      </c>
      <c r="D35" s="106" t="s">
        <v>62</v>
      </c>
      <c r="E35" s="112">
        <v>44.4</v>
      </c>
      <c r="F35" s="120"/>
      <c r="G35" s="121"/>
      <c r="H35" s="122">
        <f>ROUND(F35*G35,2)</f>
        <v>0</v>
      </c>
      <c r="I35" s="121"/>
      <c r="J35" s="121"/>
      <c r="K35" s="179">
        <f t="shared" si="2"/>
        <v>0</v>
      </c>
      <c r="L35" s="184">
        <f t="shared" si="3"/>
        <v>0</v>
      </c>
      <c r="M35" s="121">
        <f t="shared" si="4"/>
        <v>0</v>
      </c>
      <c r="N35" s="121">
        <f t="shared" si="5"/>
        <v>0</v>
      </c>
      <c r="O35" s="121">
        <f t="shared" si="6"/>
        <v>0</v>
      </c>
      <c r="P35" s="123">
        <f>ROUND(O35+N35+M35,2)</f>
        <v>0</v>
      </c>
    </row>
    <row r="36" spans="1:25" ht="13.2" x14ac:dyDescent="0.2">
      <c r="A36" s="110">
        <v>16</v>
      </c>
      <c r="B36" s="106" t="s">
        <v>60</v>
      </c>
      <c r="C36" s="111" t="s">
        <v>426</v>
      </c>
      <c r="D36" s="106" t="s">
        <v>68</v>
      </c>
      <c r="E36" s="112">
        <v>6</v>
      </c>
      <c r="F36" s="120"/>
      <c r="G36" s="121"/>
      <c r="H36" s="122">
        <f>ROUND(F36*G36,2)</f>
        <v>0</v>
      </c>
      <c r="I36" s="121"/>
      <c r="J36" s="121"/>
      <c r="K36" s="179">
        <f t="shared" si="2"/>
        <v>0</v>
      </c>
      <c r="L36" s="184">
        <f t="shared" si="3"/>
        <v>0</v>
      </c>
      <c r="M36" s="121">
        <f t="shared" si="4"/>
        <v>0</v>
      </c>
      <c r="N36" s="121">
        <f t="shared" si="5"/>
        <v>0</v>
      </c>
      <c r="O36" s="121">
        <f t="shared" si="6"/>
        <v>0</v>
      </c>
      <c r="P36" s="123">
        <f>ROUND(O36+N36+M36,2)</f>
        <v>0</v>
      </c>
    </row>
    <row r="37" spans="1:25" ht="39.6" x14ac:dyDescent="0.2">
      <c r="A37" s="110">
        <v>17</v>
      </c>
      <c r="B37" s="106" t="s">
        <v>60</v>
      </c>
      <c r="C37" s="111" t="s">
        <v>427</v>
      </c>
      <c r="D37" s="106" t="s">
        <v>68</v>
      </c>
      <c r="E37" s="154">
        <v>1</v>
      </c>
      <c r="F37" s="120"/>
      <c r="G37" s="121"/>
      <c r="H37" s="122">
        <f>ROUND(F37*G37,2)</f>
        <v>0</v>
      </c>
      <c r="I37" s="121"/>
      <c r="J37" s="121"/>
      <c r="K37" s="179">
        <f t="shared" si="2"/>
        <v>0</v>
      </c>
      <c r="L37" s="184">
        <f t="shared" si="3"/>
        <v>0</v>
      </c>
      <c r="M37" s="121">
        <f t="shared" si="4"/>
        <v>0</v>
      </c>
      <c r="N37" s="121">
        <f t="shared" si="5"/>
        <v>0</v>
      </c>
      <c r="O37" s="121">
        <f t="shared" si="6"/>
        <v>0</v>
      </c>
      <c r="P37" s="123">
        <f>ROUND(O37+N37+M37,2)</f>
        <v>0</v>
      </c>
      <c r="Q37" s="293"/>
      <c r="R37" s="294"/>
      <c r="S37" s="294"/>
      <c r="T37" s="294"/>
      <c r="U37" s="294"/>
      <c r="V37" s="294"/>
      <c r="W37" s="294"/>
      <c r="X37" s="294"/>
      <c r="Y37" s="294"/>
    </row>
    <row r="38" spans="1:25" ht="26.4" x14ac:dyDescent="0.2">
      <c r="A38" s="110">
        <v>18</v>
      </c>
      <c r="B38" s="106" t="s">
        <v>60</v>
      </c>
      <c r="C38" s="111" t="s">
        <v>468</v>
      </c>
      <c r="D38" s="106" t="s">
        <v>68</v>
      </c>
      <c r="E38" s="112">
        <v>1</v>
      </c>
      <c r="F38" s="120"/>
      <c r="G38" s="121"/>
      <c r="H38" s="122">
        <f>ROUND(F38*G38,2)</f>
        <v>0</v>
      </c>
      <c r="I38" s="121"/>
      <c r="J38" s="121"/>
      <c r="K38" s="179">
        <f t="shared" si="2"/>
        <v>0</v>
      </c>
      <c r="L38" s="184">
        <f t="shared" si="3"/>
        <v>0</v>
      </c>
      <c r="M38" s="121">
        <f t="shared" si="4"/>
        <v>0</v>
      </c>
      <c r="N38" s="121">
        <f t="shared" si="5"/>
        <v>0</v>
      </c>
      <c r="O38" s="121">
        <f t="shared" si="6"/>
        <v>0</v>
      </c>
      <c r="P38" s="123">
        <f>ROUND(O38+N38+M38,2)</f>
        <v>0</v>
      </c>
    </row>
    <row r="39" spans="1:25" ht="13.2" x14ac:dyDescent="0.2">
      <c r="A39" s="140"/>
      <c r="B39" s="107"/>
      <c r="C39" s="141" t="s">
        <v>469</v>
      </c>
      <c r="D39" s="142"/>
      <c r="E39" s="143"/>
      <c r="F39" s="144"/>
      <c r="G39" s="145"/>
      <c r="H39" s="145"/>
      <c r="I39" s="145"/>
      <c r="J39" s="145"/>
      <c r="K39" s="188"/>
      <c r="L39" s="189"/>
      <c r="M39" s="145"/>
      <c r="N39" s="145"/>
      <c r="O39" s="145"/>
      <c r="P39" s="153"/>
    </row>
    <row r="40" spans="1:25" ht="26.4" x14ac:dyDescent="0.2">
      <c r="A40" s="110">
        <v>1</v>
      </c>
      <c r="B40" s="106" t="s">
        <v>60</v>
      </c>
      <c r="C40" s="111" t="s">
        <v>428</v>
      </c>
      <c r="D40" s="106" t="s">
        <v>73</v>
      </c>
      <c r="E40" s="112">
        <v>26.52</v>
      </c>
      <c r="F40" s="120"/>
      <c r="G40" s="121"/>
      <c r="H40" s="122">
        <f>ROUND(F40*G40,2)</f>
        <v>0</v>
      </c>
      <c r="I40" s="121"/>
      <c r="J40" s="121"/>
      <c r="K40" s="179">
        <f t="shared" ref="K40:K57" si="7">ROUND(H40+J40+I40,2)</f>
        <v>0</v>
      </c>
      <c r="L40" s="184">
        <f t="shared" ref="L40:L57" si="8">ROUND(E40*F40,2)</f>
        <v>0</v>
      </c>
      <c r="M40" s="121">
        <f t="shared" ref="M40:M57" si="9">ROUND(E40*H40,2)</f>
        <v>0</v>
      </c>
      <c r="N40" s="121">
        <f t="shared" ref="N40:N57" si="10">ROUND(E40*I40,2)</f>
        <v>0</v>
      </c>
      <c r="O40" s="121">
        <f t="shared" ref="O40:O57" si="11">ROUND(E40*J40,2)</f>
        <v>0</v>
      </c>
      <c r="P40" s="123">
        <f t="shared" ref="P40:P57" si="12">ROUND(O40+N40+M40,2)</f>
        <v>0</v>
      </c>
    </row>
    <row r="41" spans="1:25" ht="26.4" x14ac:dyDescent="0.2">
      <c r="A41" s="110">
        <v>2</v>
      </c>
      <c r="B41" s="106"/>
      <c r="C41" s="99" t="s">
        <v>470</v>
      </c>
      <c r="D41" s="106" t="s">
        <v>73</v>
      </c>
      <c r="E41" s="112">
        <f>E40*1.2</f>
        <v>31.823999999999998</v>
      </c>
      <c r="F41" s="120"/>
      <c r="G41" s="121"/>
      <c r="H41" s="122"/>
      <c r="I41" s="121"/>
      <c r="J41" s="121"/>
      <c r="K41" s="179">
        <f t="shared" si="7"/>
        <v>0</v>
      </c>
      <c r="L41" s="184">
        <f t="shared" si="8"/>
        <v>0</v>
      </c>
      <c r="M41" s="121">
        <f t="shared" si="9"/>
        <v>0</v>
      </c>
      <c r="N41" s="121">
        <f t="shared" si="10"/>
        <v>0</v>
      </c>
      <c r="O41" s="121">
        <f t="shared" si="11"/>
        <v>0</v>
      </c>
      <c r="P41" s="123">
        <f t="shared" si="12"/>
        <v>0</v>
      </c>
    </row>
    <row r="42" spans="1:25" ht="13.2" x14ac:dyDescent="0.2">
      <c r="A42" s="110">
        <v>3</v>
      </c>
      <c r="B42" s="106"/>
      <c r="C42" s="99" t="s">
        <v>341</v>
      </c>
      <c r="D42" s="106" t="s">
        <v>99</v>
      </c>
      <c r="E42" s="112">
        <f>E40*0.3</f>
        <v>7.9559999999999995</v>
      </c>
      <c r="F42" s="120"/>
      <c r="G42" s="121"/>
      <c r="H42" s="122"/>
      <c r="I42" s="121"/>
      <c r="J42" s="121"/>
      <c r="K42" s="179">
        <f t="shared" si="7"/>
        <v>0</v>
      </c>
      <c r="L42" s="184">
        <f t="shared" si="8"/>
        <v>0</v>
      </c>
      <c r="M42" s="121">
        <f t="shared" si="9"/>
        <v>0</v>
      </c>
      <c r="N42" s="121">
        <f t="shared" si="10"/>
        <v>0</v>
      </c>
      <c r="O42" s="121">
        <f t="shared" si="11"/>
        <v>0</v>
      </c>
      <c r="P42" s="123">
        <f t="shared" si="12"/>
        <v>0</v>
      </c>
    </row>
    <row r="43" spans="1:25" ht="13.2" x14ac:dyDescent="0.2">
      <c r="A43" s="110">
        <v>4</v>
      </c>
      <c r="B43" s="106"/>
      <c r="C43" s="99" t="s">
        <v>342</v>
      </c>
      <c r="D43" s="106" t="s">
        <v>343</v>
      </c>
      <c r="E43" s="154">
        <f>E40/50</f>
        <v>0.53039999999999998</v>
      </c>
      <c r="F43" s="120"/>
      <c r="G43" s="121"/>
      <c r="H43" s="122"/>
      <c r="I43" s="121"/>
      <c r="J43" s="121"/>
      <c r="K43" s="179">
        <f t="shared" si="7"/>
        <v>0</v>
      </c>
      <c r="L43" s="184">
        <f t="shared" si="8"/>
        <v>0</v>
      </c>
      <c r="M43" s="121">
        <f t="shared" si="9"/>
        <v>0</v>
      </c>
      <c r="N43" s="121">
        <f t="shared" si="10"/>
        <v>0</v>
      </c>
      <c r="O43" s="121">
        <f t="shared" si="11"/>
        <v>0</v>
      </c>
      <c r="P43" s="123">
        <f t="shared" si="12"/>
        <v>0</v>
      </c>
      <c r="Q43" s="293"/>
      <c r="R43" s="294"/>
      <c r="S43" s="294"/>
      <c r="T43" s="294"/>
      <c r="U43" s="294"/>
      <c r="V43" s="294"/>
      <c r="W43" s="294"/>
      <c r="X43" s="294"/>
      <c r="Y43" s="294"/>
    </row>
    <row r="44" spans="1:25" ht="13.2" x14ac:dyDescent="0.2">
      <c r="A44" s="110">
        <v>5</v>
      </c>
      <c r="B44" s="106" t="s">
        <v>60</v>
      </c>
      <c r="C44" s="111" t="s">
        <v>429</v>
      </c>
      <c r="D44" s="106" t="s">
        <v>73</v>
      </c>
      <c r="E44" s="112">
        <v>20.28</v>
      </c>
      <c r="F44" s="120"/>
      <c r="G44" s="121"/>
      <c r="H44" s="122">
        <f>ROUND(F44*G44,2)</f>
        <v>0</v>
      </c>
      <c r="I44" s="121"/>
      <c r="J44" s="121"/>
      <c r="K44" s="179">
        <f t="shared" si="7"/>
        <v>0</v>
      </c>
      <c r="L44" s="184">
        <f t="shared" si="8"/>
        <v>0</v>
      </c>
      <c r="M44" s="121">
        <f t="shared" si="9"/>
        <v>0</v>
      </c>
      <c r="N44" s="121">
        <f t="shared" si="10"/>
        <v>0</v>
      </c>
      <c r="O44" s="121">
        <f t="shared" si="11"/>
        <v>0</v>
      </c>
      <c r="P44" s="123">
        <f t="shared" si="12"/>
        <v>0</v>
      </c>
    </row>
    <row r="45" spans="1:25" ht="13.2" x14ac:dyDescent="0.2">
      <c r="A45" s="110">
        <v>6</v>
      </c>
      <c r="B45" s="106"/>
      <c r="C45" s="99" t="s">
        <v>430</v>
      </c>
      <c r="D45" s="106" t="s">
        <v>73</v>
      </c>
      <c r="E45" s="112">
        <f>E44*1.15</f>
        <v>23.321999999999999</v>
      </c>
      <c r="F45" s="120"/>
      <c r="G45" s="121"/>
      <c r="H45" s="122"/>
      <c r="I45" s="121"/>
      <c r="J45" s="121"/>
      <c r="K45" s="179">
        <f t="shared" si="7"/>
        <v>0</v>
      </c>
      <c r="L45" s="184">
        <f t="shared" si="8"/>
        <v>0</v>
      </c>
      <c r="M45" s="121">
        <f t="shared" si="9"/>
        <v>0</v>
      </c>
      <c r="N45" s="121">
        <f t="shared" si="10"/>
        <v>0</v>
      </c>
      <c r="O45" s="121">
        <f t="shared" si="11"/>
        <v>0</v>
      </c>
      <c r="P45" s="123">
        <f t="shared" si="12"/>
        <v>0</v>
      </c>
    </row>
    <row r="46" spans="1:25" ht="13.2" x14ac:dyDescent="0.2">
      <c r="A46" s="110">
        <v>7</v>
      </c>
      <c r="B46" s="106"/>
      <c r="C46" s="99" t="s">
        <v>431</v>
      </c>
      <c r="D46" s="106" t="s">
        <v>64</v>
      </c>
      <c r="E46" s="112">
        <f>ROUND(E44*40,0)</f>
        <v>811</v>
      </c>
      <c r="F46" s="120"/>
      <c r="G46" s="121"/>
      <c r="H46" s="122"/>
      <c r="I46" s="121"/>
      <c r="J46" s="121"/>
      <c r="K46" s="179">
        <f t="shared" si="7"/>
        <v>0</v>
      </c>
      <c r="L46" s="184">
        <f t="shared" si="8"/>
        <v>0</v>
      </c>
      <c r="M46" s="121">
        <f t="shared" si="9"/>
        <v>0</v>
      </c>
      <c r="N46" s="121">
        <f t="shared" si="10"/>
        <v>0</v>
      </c>
      <c r="O46" s="121">
        <f t="shared" si="11"/>
        <v>0</v>
      </c>
      <c r="P46" s="123">
        <f t="shared" si="12"/>
        <v>0</v>
      </c>
    </row>
    <row r="47" spans="1:25" ht="13.2" x14ac:dyDescent="0.2">
      <c r="A47" s="110">
        <v>8</v>
      </c>
      <c r="B47" s="106"/>
      <c r="C47" s="99" t="s">
        <v>119</v>
      </c>
      <c r="D47" s="106" t="s">
        <v>68</v>
      </c>
      <c r="E47" s="154">
        <v>1</v>
      </c>
      <c r="F47" s="120"/>
      <c r="G47" s="121"/>
      <c r="H47" s="122"/>
      <c r="I47" s="121"/>
      <c r="J47" s="121"/>
      <c r="K47" s="179">
        <f t="shared" si="7"/>
        <v>0</v>
      </c>
      <c r="L47" s="184">
        <f t="shared" si="8"/>
        <v>0</v>
      </c>
      <c r="M47" s="121">
        <f t="shared" si="9"/>
        <v>0</v>
      </c>
      <c r="N47" s="121">
        <f t="shared" si="10"/>
        <v>0</v>
      </c>
      <c r="O47" s="121">
        <f t="shared" si="11"/>
        <v>0</v>
      </c>
      <c r="P47" s="123">
        <f t="shared" si="12"/>
        <v>0</v>
      </c>
    </row>
    <row r="48" spans="1:25" ht="13.2" x14ac:dyDescent="0.2">
      <c r="A48" s="110">
        <v>9</v>
      </c>
      <c r="B48" s="106" t="s">
        <v>60</v>
      </c>
      <c r="C48" s="111" t="s">
        <v>432</v>
      </c>
      <c r="D48" s="106" t="s">
        <v>62</v>
      </c>
      <c r="E48" s="112">
        <v>31.2</v>
      </c>
      <c r="F48" s="120"/>
      <c r="G48" s="121"/>
      <c r="H48" s="122">
        <f>ROUND(F48*G48,2)</f>
        <v>0</v>
      </c>
      <c r="I48" s="121"/>
      <c r="J48" s="121"/>
      <c r="K48" s="179">
        <f t="shared" si="7"/>
        <v>0</v>
      </c>
      <c r="L48" s="184">
        <f t="shared" si="8"/>
        <v>0</v>
      </c>
      <c r="M48" s="121">
        <f t="shared" si="9"/>
        <v>0</v>
      </c>
      <c r="N48" s="121">
        <f t="shared" si="10"/>
        <v>0</v>
      </c>
      <c r="O48" s="121">
        <f t="shared" si="11"/>
        <v>0</v>
      </c>
      <c r="P48" s="123">
        <f t="shared" si="12"/>
        <v>0</v>
      </c>
    </row>
    <row r="49" spans="1:16" ht="13.2" x14ac:dyDescent="0.2">
      <c r="A49" s="110">
        <v>10</v>
      </c>
      <c r="B49" s="106"/>
      <c r="C49" s="99" t="s">
        <v>433</v>
      </c>
      <c r="D49" s="106" t="s">
        <v>62</v>
      </c>
      <c r="E49" s="112">
        <f>E48*1.15</f>
        <v>35.879999999999995</v>
      </c>
      <c r="F49" s="120"/>
      <c r="G49" s="121"/>
      <c r="H49" s="122"/>
      <c r="I49" s="121"/>
      <c r="J49" s="121"/>
      <c r="K49" s="179">
        <f t="shared" si="7"/>
        <v>0</v>
      </c>
      <c r="L49" s="184">
        <f t="shared" si="8"/>
        <v>0</v>
      </c>
      <c r="M49" s="121">
        <f t="shared" si="9"/>
        <v>0</v>
      </c>
      <c r="N49" s="121">
        <f t="shared" si="10"/>
        <v>0</v>
      </c>
      <c r="O49" s="121">
        <f t="shared" si="11"/>
        <v>0</v>
      </c>
      <c r="P49" s="123">
        <f t="shared" si="12"/>
        <v>0</v>
      </c>
    </row>
    <row r="50" spans="1:16" ht="13.2" x14ac:dyDescent="0.2">
      <c r="A50" s="110">
        <v>11</v>
      </c>
      <c r="B50" s="106"/>
      <c r="C50" s="99" t="s">
        <v>431</v>
      </c>
      <c r="D50" s="106" t="s">
        <v>64</v>
      </c>
      <c r="E50" s="112">
        <f>ROUND(E48*10,0)</f>
        <v>312</v>
      </c>
      <c r="F50" s="120"/>
      <c r="G50" s="121"/>
      <c r="H50" s="122"/>
      <c r="I50" s="121"/>
      <c r="J50" s="121"/>
      <c r="K50" s="179">
        <f t="shared" si="7"/>
        <v>0</v>
      </c>
      <c r="L50" s="184">
        <f t="shared" si="8"/>
        <v>0</v>
      </c>
      <c r="M50" s="121">
        <f t="shared" si="9"/>
        <v>0</v>
      </c>
      <c r="N50" s="121">
        <f t="shared" si="10"/>
        <v>0</v>
      </c>
      <c r="O50" s="121">
        <f t="shared" si="11"/>
        <v>0</v>
      </c>
      <c r="P50" s="123">
        <f t="shared" si="12"/>
        <v>0</v>
      </c>
    </row>
    <row r="51" spans="1:16" ht="13.2" x14ac:dyDescent="0.2">
      <c r="A51" s="110">
        <v>12</v>
      </c>
      <c r="B51" s="106"/>
      <c r="C51" s="99" t="s">
        <v>119</v>
      </c>
      <c r="D51" s="106" t="s">
        <v>68</v>
      </c>
      <c r="E51" s="154">
        <v>1</v>
      </c>
      <c r="F51" s="120"/>
      <c r="G51" s="121"/>
      <c r="H51" s="122"/>
      <c r="I51" s="121"/>
      <c r="J51" s="121"/>
      <c r="K51" s="179">
        <f t="shared" si="7"/>
        <v>0</v>
      </c>
      <c r="L51" s="184">
        <f t="shared" si="8"/>
        <v>0</v>
      </c>
      <c r="M51" s="121">
        <f t="shared" si="9"/>
        <v>0</v>
      </c>
      <c r="N51" s="121">
        <f t="shared" si="10"/>
        <v>0</v>
      </c>
      <c r="O51" s="121">
        <f t="shared" si="11"/>
        <v>0</v>
      </c>
      <c r="P51" s="123">
        <f t="shared" si="12"/>
        <v>0</v>
      </c>
    </row>
    <row r="52" spans="1:16" ht="13.2" x14ac:dyDescent="0.2">
      <c r="A52" s="110">
        <v>13</v>
      </c>
      <c r="B52" s="106" t="s">
        <v>60</v>
      </c>
      <c r="C52" s="111" t="s">
        <v>434</v>
      </c>
      <c r="D52" s="106" t="s">
        <v>89</v>
      </c>
      <c r="E52" s="112">
        <v>0.06</v>
      </c>
      <c r="F52" s="120"/>
      <c r="G52" s="121"/>
      <c r="H52" s="122">
        <f>ROUND(F52*G52,2)</f>
        <v>0</v>
      </c>
      <c r="I52" s="121"/>
      <c r="J52" s="121"/>
      <c r="K52" s="179">
        <f t="shared" si="7"/>
        <v>0</v>
      </c>
      <c r="L52" s="184">
        <f t="shared" si="8"/>
        <v>0</v>
      </c>
      <c r="M52" s="121">
        <f t="shared" si="9"/>
        <v>0</v>
      </c>
      <c r="N52" s="121">
        <f t="shared" si="10"/>
        <v>0</v>
      </c>
      <c r="O52" s="121">
        <f t="shared" si="11"/>
        <v>0</v>
      </c>
      <c r="P52" s="123">
        <f t="shared" si="12"/>
        <v>0</v>
      </c>
    </row>
    <row r="53" spans="1:16" ht="13.2" x14ac:dyDescent="0.2">
      <c r="A53" s="110">
        <v>14</v>
      </c>
      <c r="B53" s="106"/>
      <c r="C53" s="99" t="s">
        <v>435</v>
      </c>
      <c r="D53" s="106" t="s">
        <v>89</v>
      </c>
      <c r="E53" s="112">
        <f>0.02*1.15</f>
        <v>2.3E-2</v>
      </c>
      <c r="F53" s="120"/>
      <c r="G53" s="121"/>
      <c r="H53" s="122"/>
      <c r="I53" s="121"/>
      <c r="J53" s="121"/>
      <c r="K53" s="179">
        <f t="shared" si="7"/>
        <v>0</v>
      </c>
      <c r="L53" s="184">
        <f t="shared" si="8"/>
        <v>0</v>
      </c>
      <c r="M53" s="121">
        <f t="shared" si="9"/>
        <v>0</v>
      </c>
      <c r="N53" s="121">
        <f t="shared" si="10"/>
        <v>0</v>
      </c>
      <c r="O53" s="121">
        <f t="shared" si="11"/>
        <v>0</v>
      </c>
      <c r="P53" s="123">
        <f t="shared" si="12"/>
        <v>0</v>
      </c>
    </row>
    <row r="54" spans="1:16" ht="13.2" x14ac:dyDescent="0.2">
      <c r="A54" s="110">
        <v>15</v>
      </c>
      <c r="B54" s="106"/>
      <c r="C54" s="99" t="s">
        <v>436</v>
      </c>
      <c r="D54" s="106" t="s">
        <v>89</v>
      </c>
      <c r="E54" s="112">
        <f>0.04*1.15</f>
        <v>4.5999999999999999E-2</v>
      </c>
      <c r="F54" s="120"/>
      <c r="G54" s="121"/>
      <c r="H54" s="122"/>
      <c r="I54" s="121"/>
      <c r="J54" s="121"/>
      <c r="K54" s="179">
        <f t="shared" si="7"/>
        <v>0</v>
      </c>
      <c r="L54" s="184">
        <f t="shared" si="8"/>
        <v>0</v>
      </c>
      <c r="M54" s="121">
        <f t="shared" si="9"/>
        <v>0</v>
      </c>
      <c r="N54" s="121">
        <f t="shared" si="10"/>
        <v>0</v>
      </c>
      <c r="O54" s="121">
        <f t="shared" si="11"/>
        <v>0</v>
      </c>
      <c r="P54" s="123">
        <f t="shared" si="12"/>
        <v>0</v>
      </c>
    </row>
    <row r="55" spans="1:16" ht="13.2" x14ac:dyDescent="0.2">
      <c r="A55" s="110">
        <v>16</v>
      </c>
      <c r="B55" s="106"/>
      <c r="C55" s="99" t="s">
        <v>437</v>
      </c>
      <c r="D55" s="106" t="s">
        <v>62</v>
      </c>
      <c r="E55" s="112">
        <v>62.4</v>
      </c>
      <c r="F55" s="120"/>
      <c r="G55" s="121"/>
      <c r="H55" s="122"/>
      <c r="I55" s="121"/>
      <c r="J55" s="121"/>
      <c r="K55" s="179">
        <f t="shared" si="7"/>
        <v>0</v>
      </c>
      <c r="L55" s="184">
        <f t="shared" si="8"/>
        <v>0</v>
      </c>
      <c r="M55" s="121">
        <f t="shared" si="9"/>
        <v>0</v>
      </c>
      <c r="N55" s="121">
        <f t="shared" si="10"/>
        <v>0</v>
      </c>
      <c r="O55" s="121">
        <f t="shared" si="11"/>
        <v>0</v>
      </c>
      <c r="P55" s="123">
        <f t="shared" si="12"/>
        <v>0</v>
      </c>
    </row>
    <row r="56" spans="1:16" ht="13.2" x14ac:dyDescent="0.2">
      <c r="A56" s="110">
        <v>17</v>
      </c>
      <c r="B56" s="106"/>
      <c r="C56" s="99" t="s">
        <v>431</v>
      </c>
      <c r="D56" s="106" t="s">
        <v>64</v>
      </c>
      <c r="E56" s="112">
        <v>62</v>
      </c>
      <c r="F56" s="120"/>
      <c r="G56" s="121"/>
      <c r="H56" s="122"/>
      <c r="I56" s="121"/>
      <c r="J56" s="121"/>
      <c r="K56" s="179">
        <f t="shared" si="7"/>
        <v>0</v>
      </c>
      <c r="L56" s="184">
        <f t="shared" si="8"/>
        <v>0</v>
      </c>
      <c r="M56" s="121">
        <f t="shared" si="9"/>
        <v>0</v>
      </c>
      <c r="N56" s="121">
        <f t="shared" si="10"/>
        <v>0</v>
      </c>
      <c r="O56" s="121">
        <f t="shared" si="11"/>
        <v>0</v>
      </c>
      <c r="P56" s="123">
        <f t="shared" si="12"/>
        <v>0</v>
      </c>
    </row>
    <row r="57" spans="1:16" ht="13.2" x14ac:dyDescent="0.2">
      <c r="A57" s="110">
        <v>18</v>
      </c>
      <c r="B57" s="106"/>
      <c r="C57" s="99" t="s">
        <v>119</v>
      </c>
      <c r="D57" s="106" t="s">
        <v>68</v>
      </c>
      <c r="E57" s="154">
        <v>1</v>
      </c>
      <c r="F57" s="120"/>
      <c r="G57" s="121"/>
      <c r="H57" s="122"/>
      <c r="I57" s="121"/>
      <c r="J57" s="121"/>
      <c r="K57" s="179">
        <f t="shared" si="7"/>
        <v>0</v>
      </c>
      <c r="L57" s="184">
        <f t="shared" si="8"/>
        <v>0</v>
      </c>
      <c r="M57" s="121">
        <f t="shared" si="9"/>
        <v>0</v>
      </c>
      <c r="N57" s="121">
        <f t="shared" si="10"/>
        <v>0</v>
      </c>
      <c r="O57" s="121">
        <f t="shared" si="11"/>
        <v>0</v>
      </c>
      <c r="P57" s="123">
        <f t="shared" si="12"/>
        <v>0</v>
      </c>
    </row>
    <row r="58" spans="1:16" ht="13.2" x14ac:dyDescent="0.2">
      <c r="A58" s="140"/>
      <c r="B58" s="107"/>
      <c r="C58" s="141" t="s">
        <v>438</v>
      </c>
      <c r="D58" s="142"/>
      <c r="E58" s="143"/>
      <c r="F58" s="144"/>
      <c r="G58" s="145"/>
      <c r="H58" s="145"/>
      <c r="I58" s="145"/>
      <c r="J58" s="145"/>
      <c r="K58" s="188"/>
      <c r="L58" s="189"/>
      <c r="M58" s="145"/>
      <c r="N58" s="145"/>
      <c r="O58" s="145"/>
      <c r="P58" s="153"/>
    </row>
    <row r="59" spans="1:16" ht="26.4" x14ac:dyDescent="0.2">
      <c r="A59" s="110">
        <v>1</v>
      </c>
      <c r="B59" s="106" t="s">
        <v>60</v>
      </c>
      <c r="C59" s="111" t="s">
        <v>439</v>
      </c>
      <c r="D59" s="106" t="s">
        <v>73</v>
      </c>
      <c r="E59" s="112">
        <v>26.52</v>
      </c>
      <c r="F59" s="120"/>
      <c r="G59" s="121"/>
      <c r="H59" s="122">
        <f>ROUND(F59*G59,2)</f>
        <v>0</v>
      </c>
      <c r="I59" s="121"/>
      <c r="J59" s="121"/>
      <c r="K59" s="179">
        <f t="shared" ref="K59:K72" si="13">ROUND(H59+J59+I59,2)</f>
        <v>0</v>
      </c>
      <c r="L59" s="184">
        <f t="shared" ref="L59:L72" si="14">ROUND(E59*F59,2)</f>
        <v>0</v>
      </c>
      <c r="M59" s="121">
        <f t="shared" ref="M59:M72" si="15">ROUND(E59*H59,2)</f>
        <v>0</v>
      </c>
      <c r="N59" s="121">
        <f t="shared" ref="N59:N72" si="16">ROUND(E59*I59,2)</f>
        <v>0</v>
      </c>
      <c r="O59" s="121">
        <f t="shared" ref="O59:O72" si="17">ROUND(E59*J59,2)</f>
        <v>0</v>
      </c>
      <c r="P59" s="123">
        <f t="shared" ref="P59:P72" si="18">ROUND(O59+N59+M59,2)</f>
        <v>0</v>
      </c>
    </row>
    <row r="60" spans="1:16" ht="26.4" x14ac:dyDescent="0.2">
      <c r="A60" s="110">
        <v>2</v>
      </c>
      <c r="B60" s="106"/>
      <c r="C60" s="99" t="s">
        <v>440</v>
      </c>
      <c r="D60" s="106" t="s">
        <v>73</v>
      </c>
      <c r="E60" s="112">
        <f>(18*2*0.2)</f>
        <v>7.2</v>
      </c>
      <c r="F60" s="120"/>
      <c r="G60" s="121"/>
      <c r="H60" s="122"/>
      <c r="I60" s="121"/>
      <c r="J60" s="121"/>
      <c r="K60" s="179">
        <f t="shared" si="13"/>
        <v>0</v>
      </c>
      <c r="L60" s="184">
        <f t="shared" si="14"/>
        <v>0</v>
      </c>
      <c r="M60" s="121">
        <f t="shared" si="15"/>
        <v>0</v>
      </c>
      <c r="N60" s="121">
        <f t="shared" si="16"/>
        <v>0</v>
      </c>
      <c r="O60" s="121">
        <f t="shared" si="17"/>
        <v>0</v>
      </c>
      <c r="P60" s="123">
        <f t="shared" si="18"/>
        <v>0</v>
      </c>
    </row>
    <row r="61" spans="1:16" ht="13.2" x14ac:dyDescent="0.2">
      <c r="A61" s="110">
        <v>3</v>
      </c>
      <c r="B61" s="106"/>
      <c r="C61" s="99" t="s">
        <v>441</v>
      </c>
      <c r="D61" s="106" t="s">
        <v>62</v>
      </c>
      <c r="E61" s="112">
        <v>36</v>
      </c>
      <c r="F61" s="120"/>
      <c r="G61" s="121"/>
      <c r="H61" s="122"/>
      <c r="I61" s="121"/>
      <c r="J61" s="121"/>
      <c r="K61" s="179">
        <f t="shared" si="13"/>
        <v>0</v>
      </c>
      <c r="L61" s="184">
        <f t="shared" si="14"/>
        <v>0</v>
      </c>
      <c r="M61" s="121">
        <f t="shared" si="15"/>
        <v>0</v>
      </c>
      <c r="N61" s="121">
        <f t="shared" si="16"/>
        <v>0</v>
      </c>
      <c r="O61" s="121">
        <f t="shared" si="17"/>
        <v>0</v>
      </c>
      <c r="P61" s="123">
        <f t="shared" si="18"/>
        <v>0</v>
      </c>
    </row>
    <row r="62" spans="1:16" ht="13.2" x14ac:dyDescent="0.2">
      <c r="A62" s="110">
        <v>4</v>
      </c>
      <c r="B62" s="106"/>
      <c r="C62" s="99" t="s">
        <v>442</v>
      </c>
      <c r="D62" s="106" t="s">
        <v>62</v>
      </c>
      <c r="E62" s="154">
        <f>17.1*1.1</f>
        <v>18.810000000000002</v>
      </c>
      <c r="F62" s="120"/>
      <c r="G62" s="121"/>
      <c r="H62" s="122"/>
      <c r="I62" s="121"/>
      <c r="J62" s="121"/>
      <c r="K62" s="179">
        <f t="shared" si="13"/>
        <v>0</v>
      </c>
      <c r="L62" s="184">
        <f t="shared" si="14"/>
        <v>0</v>
      </c>
      <c r="M62" s="121">
        <f t="shared" si="15"/>
        <v>0</v>
      </c>
      <c r="N62" s="121">
        <f t="shared" si="16"/>
        <v>0</v>
      </c>
      <c r="O62" s="121">
        <f t="shared" si="17"/>
        <v>0</v>
      </c>
      <c r="P62" s="123">
        <f t="shared" si="18"/>
        <v>0</v>
      </c>
    </row>
    <row r="63" spans="1:16" ht="13.2" x14ac:dyDescent="0.2">
      <c r="A63" s="110">
        <v>5</v>
      </c>
      <c r="B63" s="106"/>
      <c r="C63" s="99" t="s">
        <v>443</v>
      </c>
      <c r="D63" s="106" t="s">
        <v>89</v>
      </c>
      <c r="E63" s="112">
        <f>4.14*1.1</f>
        <v>4.5540000000000003</v>
      </c>
      <c r="F63" s="120"/>
      <c r="G63" s="121"/>
      <c r="H63" s="122"/>
      <c r="I63" s="121"/>
      <c r="J63" s="121"/>
      <c r="K63" s="179">
        <f t="shared" si="13"/>
        <v>0</v>
      </c>
      <c r="L63" s="184">
        <f t="shared" si="14"/>
        <v>0</v>
      </c>
      <c r="M63" s="121">
        <f t="shared" si="15"/>
        <v>0</v>
      </c>
      <c r="N63" s="121">
        <f t="shared" si="16"/>
        <v>0</v>
      </c>
      <c r="O63" s="121">
        <f t="shared" si="17"/>
        <v>0</v>
      </c>
      <c r="P63" s="123">
        <f t="shared" si="18"/>
        <v>0</v>
      </c>
    </row>
    <row r="64" spans="1:16" ht="13.2" x14ac:dyDescent="0.2">
      <c r="A64" s="110">
        <v>6</v>
      </c>
      <c r="B64" s="106"/>
      <c r="C64" s="99" t="s">
        <v>120</v>
      </c>
      <c r="D64" s="106" t="s">
        <v>68</v>
      </c>
      <c r="E64" s="112">
        <v>1</v>
      </c>
      <c r="F64" s="120"/>
      <c r="G64" s="121"/>
      <c r="H64" s="122"/>
      <c r="I64" s="121"/>
      <c r="J64" s="121"/>
      <c r="K64" s="179">
        <f t="shared" si="13"/>
        <v>0</v>
      </c>
      <c r="L64" s="184">
        <f t="shared" si="14"/>
        <v>0</v>
      </c>
      <c r="M64" s="121">
        <f t="shared" si="15"/>
        <v>0</v>
      </c>
      <c r="N64" s="121">
        <f t="shared" si="16"/>
        <v>0</v>
      </c>
      <c r="O64" s="121">
        <f t="shared" si="17"/>
        <v>0</v>
      </c>
      <c r="P64" s="123">
        <f t="shared" si="18"/>
        <v>0</v>
      </c>
    </row>
    <row r="65" spans="1:25" ht="13.2" x14ac:dyDescent="0.2">
      <c r="A65" s="110">
        <v>7</v>
      </c>
      <c r="B65" s="106" t="s">
        <v>60</v>
      </c>
      <c r="C65" s="111" t="s">
        <v>339</v>
      </c>
      <c r="D65" s="106" t="s">
        <v>62</v>
      </c>
      <c r="E65" s="112">
        <v>18</v>
      </c>
      <c r="F65" s="120"/>
      <c r="G65" s="121"/>
      <c r="H65" s="122">
        <f>ROUND(F65*G65,2)</f>
        <v>0</v>
      </c>
      <c r="I65" s="121"/>
      <c r="J65" s="121"/>
      <c r="K65" s="179">
        <f t="shared" si="13"/>
        <v>0</v>
      </c>
      <c r="L65" s="184">
        <f t="shared" si="14"/>
        <v>0</v>
      </c>
      <c r="M65" s="121">
        <f t="shared" si="15"/>
        <v>0</v>
      </c>
      <c r="N65" s="121">
        <f t="shared" si="16"/>
        <v>0</v>
      </c>
      <c r="O65" s="121">
        <f t="shared" si="17"/>
        <v>0</v>
      </c>
      <c r="P65" s="123">
        <f t="shared" si="18"/>
        <v>0</v>
      </c>
    </row>
    <row r="66" spans="1:25" ht="13.2" x14ac:dyDescent="0.2">
      <c r="A66" s="110">
        <v>8</v>
      </c>
      <c r="B66" s="106" t="s">
        <v>60</v>
      </c>
      <c r="C66" s="111" t="s">
        <v>444</v>
      </c>
      <c r="D66" s="106" t="s">
        <v>62</v>
      </c>
      <c r="E66" s="154">
        <v>18</v>
      </c>
      <c r="F66" s="120"/>
      <c r="G66" s="121"/>
      <c r="H66" s="122">
        <f>ROUND(F66*G66,2)</f>
        <v>0</v>
      </c>
      <c r="I66" s="121"/>
      <c r="J66" s="121"/>
      <c r="K66" s="179">
        <f t="shared" si="13"/>
        <v>0</v>
      </c>
      <c r="L66" s="184">
        <f t="shared" si="14"/>
        <v>0</v>
      </c>
      <c r="M66" s="121">
        <f t="shared" si="15"/>
        <v>0</v>
      </c>
      <c r="N66" s="121">
        <f t="shared" si="16"/>
        <v>0</v>
      </c>
      <c r="O66" s="121">
        <f t="shared" si="17"/>
        <v>0</v>
      </c>
      <c r="P66" s="123">
        <f t="shared" si="18"/>
        <v>0</v>
      </c>
    </row>
    <row r="67" spans="1:25" ht="26.4" x14ac:dyDescent="0.2">
      <c r="A67" s="110">
        <v>9</v>
      </c>
      <c r="B67" s="106" t="s">
        <v>60</v>
      </c>
      <c r="C67" s="111" t="s">
        <v>445</v>
      </c>
      <c r="D67" s="106" t="s">
        <v>62</v>
      </c>
      <c r="E67" s="112">
        <f>70.16+26.82+26.82</f>
        <v>123.79999999999998</v>
      </c>
      <c r="F67" s="120"/>
      <c r="G67" s="121"/>
      <c r="H67" s="122">
        <f>ROUND(F67*G67,2)</f>
        <v>0</v>
      </c>
      <c r="I67" s="121"/>
      <c r="J67" s="121"/>
      <c r="K67" s="179">
        <f t="shared" si="13"/>
        <v>0</v>
      </c>
      <c r="L67" s="184">
        <f t="shared" si="14"/>
        <v>0</v>
      </c>
      <c r="M67" s="121">
        <f t="shared" si="15"/>
        <v>0</v>
      </c>
      <c r="N67" s="121">
        <f t="shared" si="16"/>
        <v>0</v>
      </c>
      <c r="O67" s="121">
        <f t="shared" si="17"/>
        <v>0</v>
      </c>
      <c r="P67" s="123">
        <f t="shared" si="18"/>
        <v>0</v>
      </c>
    </row>
    <row r="68" spans="1:25" ht="13.2" x14ac:dyDescent="0.2">
      <c r="A68" s="110">
        <v>10</v>
      </c>
      <c r="B68" s="106"/>
      <c r="C68" s="99" t="s">
        <v>446</v>
      </c>
      <c r="D68" s="106" t="s">
        <v>68</v>
      </c>
      <c r="E68" s="112">
        <f>1</f>
        <v>1</v>
      </c>
      <c r="F68" s="120"/>
      <c r="G68" s="121"/>
      <c r="H68" s="122"/>
      <c r="I68" s="121"/>
      <c r="J68" s="121"/>
      <c r="K68" s="179">
        <f t="shared" si="13"/>
        <v>0</v>
      </c>
      <c r="L68" s="184">
        <f t="shared" si="14"/>
        <v>0</v>
      </c>
      <c r="M68" s="121">
        <f t="shared" si="15"/>
        <v>0</v>
      </c>
      <c r="N68" s="121">
        <f t="shared" si="16"/>
        <v>0</v>
      </c>
      <c r="O68" s="121">
        <f t="shared" si="17"/>
        <v>0</v>
      </c>
      <c r="P68" s="123">
        <f t="shared" si="18"/>
        <v>0</v>
      </c>
    </row>
    <row r="69" spans="1:25" ht="12.75" customHeight="1" x14ac:dyDescent="0.2">
      <c r="A69" s="110">
        <v>11</v>
      </c>
      <c r="B69" s="106" t="s">
        <v>60</v>
      </c>
      <c r="C69" s="111" t="s">
        <v>447</v>
      </c>
      <c r="D69" s="106" t="s">
        <v>73</v>
      </c>
      <c r="E69" s="112">
        <f>40.67+14.6+15</f>
        <v>70.27000000000001</v>
      </c>
      <c r="F69" s="120"/>
      <c r="G69" s="121"/>
      <c r="H69" s="122">
        <f>ROUND(F69*G69,2)</f>
        <v>0</v>
      </c>
      <c r="I69" s="121"/>
      <c r="J69" s="121"/>
      <c r="K69" s="179">
        <f t="shared" si="13"/>
        <v>0</v>
      </c>
      <c r="L69" s="184">
        <f t="shared" si="14"/>
        <v>0</v>
      </c>
      <c r="M69" s="121">
        <f t="shared" si="15"/>
        <v>0</v>
      </c>
      <c r="N69" s="121">
        <f t="shared" si="16"/>
        <v>0</v>
      </c>
      <c r="O69" s="121">
        <f t="shared" si="17"/>
        <v>0</v>
      </c>
      <c r="P69" s="123">
        <f t="shared" si="18"/>
        <v>0</v>
      </c>
      <c r="Q69" s="292"/>
      <c r="R69" s="295"/>
      <c r="S69" s="295"/>
      <c r="T69" s="295"/>
      <c r="U69" s="295"/>
      <c r="V69" s="295"/>
      <c r="W69" s="295"/>
      <c r="X69" s="295"/>
      <c r="Y69" s="295"/>
    </row>
    <row r="70" spans="1:25" ht="26.4" x14ac:dyDescent="0.2">
      <c r="A70" s="110">
        <v>12</v>
      </c>
      <c r="B70" s="106"/>
      <c r="C70" s="99" t="s">
        <v>477</v>
      </c>
      <c r="D70" s="106" t="s">
        <v>73</v>
      </c>
      <c r="E70" s="112">
        <f>E69*1.15</f>
        <v>80.810500000000005</v>
      </c>
      <c r="F70" s="120"/>
      <c r="G70" s="121"/>
      <c r="H70" s="122"/>
      <c r="I70" s="121"/>
      <c r="J70" s="121"/>
      <c r="K70" s="179">
        <f t="shared" si="13"/>
        <v>0</v>
      </c>
      <c r="L70" s="184">
        <f t="shared" si="14"/>
        <v>0</v>
      </c>
      <c r="M70" s="121">
        <f t="shared" si="15"/>
        <v>0</v>
      </c>
      <c r="N70" s="121">
        <f t="shared" si="16"/>
        <v>0</v>
      </c>
      <c r="O70" s="121">
        <f t="shared" si="17"/>
        <v>0</v>
      </c>
      <c r="P70" s="123">
        <f t="shared" si="18"/>
        <v>0</v>
      </c>
      <c r="Q70" s="292"/>
      <c r="R70" s="295"/>
      <c r="S70" s="295"/>
      <c r="T70" s="295"/>
      <c r="U70" s="295"/>
      <c r="V70" s="295"/>
      <c r="W70" s="295"/>
      <c r="X70" s="295"/>
      <c r="Y70" s="295"/>
    </row>
    <row r="71" spans="1:25" ht="13.2" x14ac:dyDescent="0.2">
      <c r="A71" s="110">
        <v>13</v>
      </c>
      <c r="B71" s="106"/>
      <c r="C71" s="99" t="s">
        <v>431</v>
      </c>
      <c r="D71" s="106" t="s">
        <v>64</v>
      </c>
      <c r="E71" s="112">
        <f>ROUND(E69*16,0)</f>
        <v>1124</v>
      </c>
      <c r="F71" s="120"/>
      <c r="G71" s="121"/>
      <c r="H71" s="122"/>
      <c r="I71" s="121"/>
      <c r="J71" s="121"/>
      <c r="K71" s="179">
        <f t="shared" si="13"/>
        <v>0</v>
      </c>
      <c r="L71" s="184">
        <f t="shared" si="14"/>
        <v>0</v>
      </c>
      <c r="M71" s="121">
        <f t="shared" si="15"/>
        <v>0</v>
      </c>
      <c r="N71" s="121">
        <f t="shared" si="16"/>
        <v>0</v>
      </c>
      <c r="O71" s="121">
        <f t="shared" si="17"/>
        <v>0</v>
      </c>
      <c r="P71" s="123">
        <f t="shared" si="18"/>
        <v>0</v>
      </c>
      <c r="Q71" s="292"/>
      <c r="R71" s="295"/>
      <c r="S71" s="295"/>
      <c r="T71" s="295"/>
      <c r="U71" s="295"/>
      <c r="V71" s="295"/>
      <c r="W71" s="295"/>
      <c r="X71" s="295"/>
      <c r="Y71" s="295"/>
    </row>
    <row r="72" spans="1:25" ht="13.2" x14ac:dyDescent="0.2">
      <c r="A72" s="110">
        <v>14</v>
      </c>
      <c r="B72" s="106"/>
      <c r="C72" s="99" t="s">
        <v>120</v>
      </c>
      <c r="D72" s="106" t="s">
        <v>68</v>
      </c>
      <c r="E72" s="112">
        <v>1</v>
      </c>
      <c r="F72" s="120"/>
      <c r="G72" s="121"/>
      <c r="H72" s="122"/>
      <c r="I72" s="121"/>
      <c r="J72" s="121"/>
      <c r="K72" s="179">
        <f t="shared" si="13"/>
        <v>0</v>
      </c>
      <c r="L72" s="184">
        <f t="shared" si="14"/>
        <v>0</v>
      </c>
      <c r="M72" s="121">
        <f t="shared" si="15"/>
        <v>0</v>
      </c>
      <c r="N72" s="121">
        <f t="shared" si="16"/>
        <v>0</v>
      </c>
      <c r="O72" s="121">
        <f t="shared" si="17"/>
        <v>0</v>
      </c>
      <c r="P72" s="123">
        <f t="shared" si="18"/>
        <v>0</v>
      </c>
      <c r="Q72" s="292"/>
      <c r="R72" s="295"/>
      <c r="S72" s="295"/>
      <c r="T72" s="295"/>
      <c r="U72" s="295"/>
      <c r="V72" s="295"/>
      <c r="W72" s="295"/>
      <c r="X72" s="295"/>
      <c r="Y72" s="295"/>
    </row>
    <row r="73" spans="1:25" ht="13.2" x14ac:dyDescent="0.2">
      <c r="A73" s="140"/>
      <c r="B73" s="107"/>
      <c r="C73" s="141" t="s">
        <v>448</v>
      </c>
      <c r="D73" s="142"/>
      <c r="E73" s="143"/>
      <c r="F73" s="144"/>
      <c r="G73" s="145"/>
      <c r="H73" s="145"/>
      <c r="I73" s="145"/>
      <c r="J73" s="145"/>
      <c r="K73" s="188"/>
      <c r="L73" s="189"/>
      <c r="M73" s="145"/>
      <c r="N73" s="145"/>
      <c r="O73" s="145"/>
      <c r="P73" s="153"/>
    </row>
    <row r="74" spans="1:25" ht="26.4" x14ac:dyDescent="0.2">
      <c r="A74" s="110">
        <v>1</v>
      </c>
      <c r="B74" s="106" t="s">
        <v>60</v>
      </c>
      <c r="C74" s="111" t="s">
        <v>428</v>
      </c>
      <c r="D74" s="106" t="s">
        <v>73</v>
      </c>
      <c r="E74" s="112">
        <v>18.43</v>
      </c>
      <c r="F74" s="120"/>
      <c r="G74" s="121"/>
      <c r="H74" s="122">
        <f>ROUND(F74*G74,2)</f>
        <v>0</v>
      </c>
      <c r="I74" s="121"/>
      <c r="J74" s="121"/>
      <c r="K74" s="179">
        <f t="shared" ref="K74:K91" si="19">ROUND(H74+J74+I74,2)</f>
        <v>0</v>
      </c>
      <c r="L74" s="184">
        <f t="shared" ref="L74:L91" si="20">ROUND(E74*F74,2)</f>
        <v>0</v>
      </c>
      <c r="M74" s="121">
        <f t="shared" ref="M74:M91" si="21">ROUND(E74*H74,2)</f>
        <v>0</v>
      </c>
      <c r="N74" s="121">
        <f t="shared" ref="N74:N91" si="22">ROUND(E74*I74,2)</f>
        <v>0</v>
      </c>
      <c r="O74" s="121">
        <f t="shared" ref="O74:O91" si="23">ROUND(E74*J74,2)</f>
        <v>0</v>
      </c>
      <c r="P74" s="123">
        <f t="shared" ref="P74:P91" si="24">ROUND(O74+N74+M74,2)</f>
        <v>0</v>
      </c>
    </row>
    <row r="75" spans="1:25" ht="26.4" x14ac:dyDescent="0.2">
      <c r="A75" s="110">
        <v>2</v>
      </c>
      <c r="B75" s="106"/>
      <c r="C75" s="99" t="s">
        <v>470</v>
      </c>
      <c r="D75" s="106" t="s">
        <v>73</v>
      </c>
      <c r="E75" s="112">
        <f>E74*1.2</f>
        <v>22.116</v>
      </c>
      <c r="F75" s="120"/>
      <c r="G75" s="121"/>
      <c r="H75" s="122"/>
      <c r="I75" s="121"/>
      <c r="J75" s="121"/>
      <c r="K75" s="179">
        <f t="shared" si="19"/>
        <v>0</v>
      </c>
      <c r="L75" s="184">
        <f t="shared" si="20"/>
        <v>0</v>
      </c>
      <c r="M75" s="121">
        <f t="shared" si="21"/>
        <v>0</v>
      </c>
      <c r="N75" s="121">
        <f t="shared" si="22"/>
        <v>0</v>
      </c>
      <c r="O75" s="121">
        <f t="shared" si="23"/>
        <v>0</v>
      </c>
      <c r="P75" s="123">
        <f t="shared" si="24"/>
        <v>0</v>
      </c>
    </row>
    <row r="76" spans="1:25" ht="13.2" x14ac:dyDescent="0.2">
      <c r="A76" s="110">
        <v>3</v>
      </c>
      <c r="B76" s="106"/>
      <c r="C76" s="99" t="s">
        <v>341</v>
      </c>
      <c r="D76" s="106" t="s">
        <v>99</v>
      </c>
      <c r="E76" s="112">
        <f>E74*0.3</f>
        <v>5.5289999999999999</v>
      </c>
      <c r="F76" s="120"/>
      <c r="G76" s="121"/>
      <c r="H76" s="122"/>
      <c r="I76" s="121"/>
      <c r="J76" s="121"/>
      <c r="K76" s="179">
        <f t="shared" si="19"/>
        <v>0</v>
      </c>
      <c r="L76" s="184">
        <f t="shared" si="20"/>
        <v>0</v>
      </c>
      <c r="M76" s="121">
        <f t="shared" si="21"/>
        <v>0</v>
      </c>
      <c r="N76" s="121">
        <f t="shared" si="22"/>
        <v>0</v>
      </c>
      <c r="O76" s="121">
        <f t="shared" si="23"/>
        <v>0</v>
      </c>
      <c r="P76" s="123">
        <f t="shared" si="24"/>
        <v>0</v>
      </c>
    </row>
    <row r="77" spans="1:25" ht="13.2" x14ac:dyDescent="0.2">
      <c r="A77" s="110">
        <v>4</v>
      </c>
      <c r="B77" s="106"/>
      <c r="C77" s="99" t="s">
        <v>342</v>
      </c>
      <c r="D77" s="106" t="s">
        <v>343</v>
      </c>
      <c r="E77" s="154">
        <f>E74/50</f>
        <v>0.36859999999999998</v>
      </c>
      <c r="F77" s="120"/>
      <c r="G77" s="121"/>
      <c r="H77" s="122"/>
      <c r="I77" s="121"/>
      <c r="J77" s="121"/>
      <c r="K77" s="179">
        <f t="shared" si="19"/>
        <v>0</v>
      </c>
      <c r="L77" s="184">
        <f t="shared" si="20"/>
        <v>0</v>
      </c>
      <c r="M77" s="121">
        <f t="shared" si="21"/>
        <v>0</v>
      </c>
      <c r="N77" s="121">
        <f t="shared" si="22"/>
        <v>0</v>
      </c>
      <c r="O77" s="121">
        <f t="shared" si="23"/>
        <v>0</v>
      </c>
      <c r="P77" s="123">
        <f t="shared" si="24"/>
        <v>0</v>
      </c>
    </row>
    <row r="78" spans="1:25" ht="13.2" x14ac:dyDescent="0.2">
      <c r="A78" s="110">
        <v>5</v>
      </c>
      <c r="B78" s="106" t="s">
        <v>60</v>
      </c>
      <c r="C78" s="111" t="s">
        <v>429</v>
      </c>
      <c r="D78" s="106" t="s">
        <v>73</v>
      </c>
      <c r="E78" s="112">
        <v>8.34</v>
      </c>
      <c r="F78" s="120"/>
      <c r="G78" s="121"/>
      <c r="H78" s="122">
        <f>ROUND(F78*G78,2)</f>
        <v>0</v>
      </c>
      <c r="I78" s="121"/>
      <c r="J78" s="121"/>
      <c r="K78" s="179">
        <f t="shared" si="19"/>
        <v>0</v>
      </c>
      <c r="L78" s="184">
        <f t="shared" si="20"/>
        <v>0</v>
      </c>
      <c r="M78" s="121">
        <f t="shared" si="21"/>
        <v>0</v>
      </c>
      <c r="N78" s="121">
        <f t="shared" si="22"/>
        <v>0</v>
      </c>
      <c r="O78" s="121">
        <f t="shared" si="23"/>
        <v>0</v>
      </c>
      <c r="P78" s="123">
        <f t="shared" si="24"/>
        <v>0</v>
      </c>
    </row>
    <row r="79" spans="1:25" ht="13.2" x14ac:dyDescent="0.2">
      <c r="A79" s="110">
        <v>6</v>
      </c>
      <c r="B79" s="106"/>
      <c r="C79" s="99" t="s">
        <v>430</v>
      </c>
      <c r="D79" s="106" t="s">
        <v>73</v>
      </c>
      <c r="E79" s="112">
        <f>E78*1.15</f>
        <v>9.5909999999999993</v>
      </c>
      <c r="F79" s="120"/>
      <c r="G79" s="121"/>
      <c r="H79" s="122"/>
      <c r="I79" s="121"/>
      <c r="J79" s="121"/>
      <c r="K79" s="179">
        <f t="shared" si="19"/>
        <v>0</v>
      </c>
      <c r="L79" s="184">
        <f t="shared" si="20"/>
        <v>0</v>
      </c>
      <c r="M79" s="121">
        <f t="shared" si="21"/>
        <v>0</v>
      </c>
      <c r="N79" s="121">
        <f t="shared" si="22"/>
        <v>0</v>
      </c>
      <c r="O79" s="121">
        <f t="shared" si="23"/>
        <v>0</v>
      </c>
      <c r="P79" s="123">
        <f t="shared" si="24"/>
        <v>0</v>
      </c>
    </row>
    <row r="80" spans="1:25" ht="13.2" x14ac:dyDescent="0.2">
      <c r="A80" s="110">
        <v>7</v>
      </c>
      <c r="B80" s="106"/>
      <c r="C80" s="99" t="s">
        <v>431</v>
      </c>
      <c r="D80" s="106" t="s">
        <v>64</v>
      </c>
      <c r="E80" s="112">
        <f>ROUND(E78*40,0)</f>
        <v>334</v>
      </c>
      <c r="F80" s="120"/>
      <c r="G80" s="121"/>
      <c r="H80" s="122"/>
      <c r="I80" s="121"/>
      <c r="J80" s="121"/>
      <c r="K80" s="179">
        <f t="shared" si="19"/>
        <v>0</v>
      </c>
      <c r="L80" s="184">
        <f t="shared" si="20"/>
        <v>0</v>
      </c>
      <c r="M80" s="121">
        <f t="shared" si="21"/>
        <v>0</v>
      </c>
      <c r="N80" s="121">
        <f t="shared" si="22"/>
        <v>0</v>
      </c>
      <c r="O80" s="121">
        <f t="shared" si="23"/>
        <v>0</v>
      </c>
      <c r="P80" s="123">
        <f t="shared" si="24"/>
        <v>0</v>
      </c>
    </row>
    <row r="81" spans="1:16" ht="13.2" x14ac:dyDescent="0.2">
      <c r="A81" s="110">
        <v>8</v>
      </c>
      <c r="B81" s="106"/>
      <c r="C81" s="99" t="s">
        <v>119</v>
      </c>
      <c r="D81" s="106" t="s">
        <v>68</v>
      </c>
      <c r="E81" s="154">
        <v>1</v>
      </c>
      <c r="F81" s="120"/>
      <c r="G81" s="121"/>
      <c r="H81" s="122"/>
      <c r="I81" s="121"/>
      <c r="J81" s="121"/>
      <c r="K81" s="179">
        <f t="shared" si="19"/>
        <v>0</v>
      </c>
      <c r="L81" s="184">
        <f t="shared" si="20"/>
        <v>0</v>
      </c>
      <c r="M81" s="121">
        <f t="shared" si="21"/>
        <v>0</v>
      </c>
      <c r="N81" s="121">
        <f t="shared" si="22"/>
        <v>0</v>
      </c>
      <c r="O81" s="121">
        <f t="shared" si="23"/>
        <v>0</v>
      </c>
      <c r="P81" s="123">
        <f t="shared" si="24"/>
        <v>0</v>
      </c>
    </row>
    <row r="82" spans="1:16" ht="13.2" x14ac:dyDescent="0.2">
      <c r="A82" s="110">
        <v>9</v>
      </c>
      <c r="B82" s="106" t="s">
        <v>60</v>
      </c>
      <c r="C82" s="111" t="s">
        <v>432</v>
      </c>
      <c r="D82" s="106" t="s">
        <v>62</v>
      </c>
      <c r="E82" s="112">
        <v>19.399999999999999</v>
      </c>
      <c r="F82" s="120"/>
      <c r="G82" s="121"/>
      <c r="H82" s="122">
        <f>ROUND(F82*G82,2)</f>
        <v>0</v>
      </c>
      <c r="I82" s="121"/>
      <c r="J82" s="121"/>
      <c r="K82" s="179">
        <f t="shared" si="19"/>
        <v>0</v>
      </c>
      <c r="L82" s="184">
        <f t="shared" si="20"/>
        <v>0</v>
      </c>
      <c r="M82" s="121">
        <f t="shared" si="21"/>
        <v>0</v>
      </c>
      <c r="N82" s="121">
        <f t="shared" si="22"/>
        <v>0</v>
      </c>
      <c r="O82" s="121">
        <f t="shared" si="23"/>
        <v>0</v>
      </c>
      <c r="P82" s="123">
        <f t="shared" si="24"/>
        <v>0</v>
      </c>
    </row>
    <row r="83" spans="1:16" ht="13.2" x14ac:dyDescent="0.2">
      <c r="A83" s="110">
        <v>10</v>
      </c>
      <c r="B83" s="106"/>
      <c r="C83" s="99" t="s">
        <v>433</v>
      </c>
      <c r="D83" s="106" t="s">
        <v>62</v>
      </c>
      <c r="E83" s="112">
        <f>E82*1.15</f>
        <v>22.309999999999995</v>
      </c>
      <c r="F83" s="120"/>
      <c r="G83" s="121"/>
      <c r="H83" s="122"/>
      <c r="I83" s="121"/>
      <c r="J83" s="121"/>
      <c r="K83" s="179">
        <f t="shared" si="19"/>
        <v>0</v>
      </c>
      <c r="L83" s="184">
        <f t="shared" si="20"/>
        <v>0</v>
      </c>
      <c r="M83" s="121">
        <f t="shared" si="21"/>
        <v>0</v>
      </c>
      <c r="N83" s="121">
        <f t="shared" si="22"/>
        <v>0</v>
      </c>
      <c r="O83" s="121">
        <f t="shared" si="23"/>
        <v>0</v>
      </c>
      <c r="P83" s="123">
        <f t="shared" si="24"/>
        <v>0</v>
      </c>
    </row>
    <row r="84" spans="1:16" ht="13.2" x14ac:dyDescent="0.2">
      <c r="A84" s="110">
        <v>11</v>
      </c>
      <c r="B84" s="106"/>
      <c r="C84" s="99" t="s">
        <v>431</v>
      </c>
      <c r="D84" s="106" t="s">
        <v>64</v>
      </c>
      <c r="E84" s="112">
        <f>ROUND(E82*10,0)</f>
        <v>194</v>
      </c>
      <c r="F84" s="120"/>
      <c r="G84" s="121"/>
      <c r="H84" s="122"/>
      <c r="I84" s="121"/>
      <c r="J84" s="121"/>
      <c r="K84" s="179">
        <f t="shared" si="19"/>
        <v>0</v>
      </c>
      <c r="L84" s="184">
        <f t="shared" si="20"/>
        <v>0</v>
      </c>
      <c r="M84" s="121">
        <f t="shared" si="21"/>
        <v>0</v>
      </c>
      <c r="N84" s="121">
        <f t="shared" si="22"/>
        <v>0</v>
      </c>
      <c r="O84" s="121">
        <f t="shared" si="23"/>
        <v>0</v>
      </c>
      <c r="P84" s="123">
        <f t="shared" si="24"/>
        <v>0</v>
      </c>
    </row>
    <row r="85" spans="1:16" ht="13.2" x14ac:dyDescent="0.2">
      <c r="A85" s="110">
        <v>12</v>
      </c>
      <c r="B85" s="106"/>
      <c r="C85" s="99" t="s">
        <v>119</v>
      </c>
      <c r="D85" s="106" t="s">
        <v>68</v>
      </c>
      <c r="E85" s="154">
        <v>1</v>
      </c>
      <c r="F85" s="120"/>
      <c r="G85" s="121"/>
      <c r="H85" s="122"/>
      <c r="I85" s="121"/>
      <c r="J85" s="121"/>
      <c r="K85" s="179">
        <f t="shared" si="19"/>
        <v>0</v>
      </c>
      <c r="L85" s="184">
        <f t="shared" si="20"/>
        <v>0</v>
      </c>
      <c r="M85" s="121">
        <f t="shared" si="21"/>
        <v>0</v>
      </c>
      <c r="N85" s="121">
        <f t="shared" si="22"/>
        <v>0</v>
      </c>
      <c r="O85" s="121">
        <f t="shared" si="23"/>
        <v>0</v>
      </c>
      <c r="P85" s="123">
        <f t="shared" si="24"/>
        <v>0</v>
      </c>
    </row>
    <row r="86" spans="1:16" ht="13.2" x14ac:dyDescent="0.2">
      <c r="A86" s="110">
        <v>13</v>
      </c>
      <c r="B86" s="106" t="s">
        <v>60</v>
      </c>
      <c r="C86" s="111" t="s">
        <v>434</v>
      </c>
      <c r="D86" s="106" t="s">
        <v>89</v>
      </c>
      <c r="E86" s="112">
        <v>0.02</v>
      </c>
      <c r="F86" s="120"/>
      <c r="G86" s="121"/>
      <c r="H86" s="122">
        <f>ROUND(F86*G86,2)</f>
        <v>0</v>
      </c>
      <c r="I86" s="121"/>
      <c r="J86" s="121"/>
      <c r="K86" s="179">
        <f t="shared" si="19"/>
        <v>0</v>
      </c>
      <c r="L86" s="184">
        <f t="shared" si="20"/>
        <v>0</v>
      </c>
      <c r="M86" s="121">
        <f t="shared" si="21"/>
        <v>0</v>
      </c>
      <c r="N86" s="121">
        <f t="shared" si="22"/>
        <v>0</v>
      </c>
      <c r="O86" s="121">
        <f t="shared" si="23"/>
        <v>0</v>
      </c>
      <c r="P86" s="123">
        <f t="shared" si="24"/>
        <v>0</v>
      </c>
    </row>
    <row r="87" spans="1:16" ht="13.2" x14ac:dyDescent="0.2">
      <c r="A87" s="110">
        <v>14</v>
      </c>
      <c r="B87" s="106"/>
      <c r="C87" s="99" t="s">
        <v>435</v>
      </c>
      <c r="D87" s="106" t="s">
        <v>89</v>
      </c>
      <c r="E87" s="155">
        <f>0.02*1.15</f>
        <v>2.3E-2</v>
      </c>
      <c r="F87" s="120"/>
      <c r="G87" s="121"/>
      <c r="H87" s="122"/>
      <c r="I87" s="121"/>
      <c r="J87" s="121"/>
      <c r="K87" s="179">
        <f t="shared" si="19"/>
        <v>0</v>
      </c>
      <c r="L87" s="184">
        <f t="shared" si="20"/>
        <v>0</v>
      </c>
      <c r="M87" s="121">
        <f t="shared" si="21"/>
        <v>0</v>
      </c>
      <c r="N87" s="121">
        <f t="shared" si="22"/>
        <v>0</v>
      </c>
      <c r="O87" s="121">
        <f t="shared" si="23"/>
        <v>0</v>
      </c>
      <c r="P87" s="123">
        <f t="shared" si="24"/>
        <v>0</v>
      </c>
    </row>
    <row r="88" spans="1:16" ht="13.2" x14ac:dyDescent="0.2">
      <c r="A88" s="110">
        <v>15</v>
      </c>
      <c r="B88" s="106"/>
      <c r="C88" s="99" t="s">
        <v>437</v>
      </c>
      <c r="D88" s="106" t="s">
        <v>62</v>
      </c>
      <c r="E88" s="112">
        <v>19.399999999999999</v>
      </c>
      <c r="F88" s="120"/>
      <c r="G88" s="121"/>
      <c r="H88" s="122"/>
      <c r="I88" s="121"/>
      <c r="J88" s="121"/>
      <c r="K88" s="179">
        <f t="shared" si="19"/>
        <v>0</v>
      </c>
      <c r="L88" s="184">
        <f t="shared" si="20"/>
        <v>0</v>
      </c>
      <c r="M88" s="121">
        <f t="shared" si="21"/>
        <v>0</v>
      </c>
      <c r="N88" s="121">
        <f t="shared" si="22"/>
        <v>0</v>
      </c>
      <c r="O88" s="121">
        <f t="shared" si="23"/>
        <v>0</v>
      </c>
      <c r="P88" s="123">
        <f t="shared" si="24"/>
        <v>0</v>
      </c>
    </row>
    <row r="89" spans="1:16" ht="13.2" x14ac:dyDescent="0.2">
      <c r="A89" s="110">
        <v>16</v>
      </c>
      <c r="B89" s="106"/>
      <c r="C89" s="99" t="s">
        <v>431</v>
      </c>
      <c r="D89" s="106" t="s">
        <v>64</v>
      </c>
      <c r="E89" s="112">
        <v>20</v>
      </c>
      <c r="F89" s="120"/>
      <c r="G89" s="121"/>
      <c r="H89" s="122"/>
      <c r="I89" s="121"/>
      <c r="J89" s="121"/>
      <c r="K89" s="179">
        <f t="shared" si="19"/>
        <v>0</v>
      </c>
      <c r="L89" s="184">
        <f t="shared" si="20"/>
        <v>0</v>
      </c>
      <c r="M89" s="121">
        <f t="shared" si="21"/>
        <v>0</v>
      </c>
      <c r="N89" s="121">
        <f t="shared" si="22"/>
        <v>0</v>
      </c>
      <c r="O89" s="121">
        <f t="shared" si="23"/>
        <v>0</v>
      </c>
      <c r="P89" s="123">
        <f t="shared" si="24"/>
        <v>0</v>
      </c>
    </row>
    <row r="90" spans="1:16" ht="13.2" x14ac:dyDescent="0.2">
      <c r="A90" s="110">
        <v>17</v>
      </c>
      <c r="B90" s="106"/>
      <c r="C90" s="99" t="s">
        <v>119</v>
      </c>
      <c r="D90" s="106" t="s">
        <v>68</v>
      </c>
      <c r="E90" s="154">
        <v>1</v>
      </c>
      <c r="F90" s="120"/>
      <c r="G90" s="121"/>
      <c r="H90" s="122"/>
      <c r="I90" s="121"/>
      <c r="J90" s="121"/>
      <c r="K90" s="179">
        <f t="shared" si="19"/>
        <v>0</v>
      </c>
      <c r="L90" s="184">
        <f t="shared" si="20"/>
        <v>0</v>
      </c>
      <c r="M90" s="121">
        <f t="shared" si="21"/>
        <v>0</v>
      </c>
      <c r="N90" s="121">
        <f t="shared" si="22"/>
        <v>0</v>
      </c>
      <c r="O90" s="121">
        <f t="shared" si="23"/>
        <v>0</v>
      </c>
      <c r="P90" s="123">
        <f t="shared" si="24"/>
        <v>0</v>
      </c>
    </row>
    <row r="91" spans="1:16" ht="13.2" x14ac:dyDescent="0.2">
      <c r="A91" s="110">
        <v>18</v>
      </c>
      <c r="B91" s="106" t="s">
        <v>60</v>
      </c>
      <c r="C91" s="111" t="s">
        <v>339</v>
      </c>
      <c r="D91" s="106" t="s">
        <v>62</v>
      </c>
      <c r="E91" s="112">
        <v>19.399999999999999</v>
      </c>
      <c r="F91" s="120"/>
      <c r="G91" s="121"/>
      <c r="H91" s="122">
        <f>ROUND(F91*G91,2)</f>
        <v>0</v>
      </c>
      <c r="I91" s="121"/>
      <c r="J91" s="121"/>
      <c r="K91" s="179">
        <f t="shared" si="19"/>
        <v>0</v>
      </c>
      <c r="L91" s="184">
        <f t="shared" si="20"/>
        <v>0</v>
      </c>
      <c r="M91" s="121">
        <f t="shared" si="21"/>
        <v>0</v>
      </c>
      <c r="N91" s="121">
        <f t="shared" si="22"/>
        <v>0</v>
      </c>
      <c r="O91" s="121">
        <f t="shared" si="23"/>
        <v>0</v>
      </c>
      <c r="P91" s="123">
        <f t="shared" si="24"/>
        <v>0</v>
      </c>
    </row>
    <row r="92" spans="1:16" ht="26.4" x14ac:dyDescent="0.2">
      <c r="A92" s="140"/>
      <c r="B92" s="107"/>
      <c r="C92" s="141" t="s">
        <v>449</v>
      </c>
      <c r="D92" s="142"/>
      <c r="E92" s="143"/>
      <c r="F92" s="144"/>
      <c r="G92" s="145"/>
      <c r="H92" s="145"/>
      <c r="I92" s="145"/>
      <c r="J92" s="145"/>
      <c r="K92" s="188"/>
      <c r="L92" s="189"/>
      <c r="M92" s="145"/>
      <c r="N92" s="145"/>
      <c r="O92" s="145"/>
      <c r="P92" s="153"/>
    </row>
    <row r="93" spans="1:16" ht="13.2" x14ac:dyDescent="0.2">
      <c r="A93" s="110">
        <v>1</v>
      </c>
      <c r="B93" s="106" t="s">
        <v>60</v>
      </c>
      <c r="C93" s="111" t="s">
        <v>450</v>
      </c>
      <c r="D93" s="106" t="s">
        <v>73</v>
      </c>
      <c r="E93" s="112">
        <v>1.4</v>
      </c>
      <c r="F93" s="120"/>
      <c r="G93" s="121"/>
      <c r="H93" s="122">
        <f>ROUND(F93*G93,2)</f>
        <v>0</v>
      </c>
      <c r="I93" s="121"/>
      <c r="J93" s="121"/>
      <c r="K93" s="179">
        <f t="shared" ref="K93:K105" si="25">ROUND(H93+J93+I93,2)</f>
        <v>0</v>
      </c>
      <c r="L93" s="184">
        <f t="shared" ref="L93:L105" si="26">ROUND(E93*F93,2)</f>
        <v>0</v>
      </c>
      <c r="M93" s="121">
        <f t="shared" ref="M93:M105" si="27">ROUND(E93*H93,2)</f>
        <v>0</v>
      </c>
      <c r="N93" s="121">
        <f t="shared" ref="N93:N105" si="28">ROUND(E93*I93,2)</f>
        <v>0</v>
      </c>
      <c r="O93" s="121">
        <f t="shared" ref="O93:O105" si="29">ROUND(E93*J93,2)</f>
        <v>0</v>
      </c>
      <c r="P93" s="123">
        <f t="shared" ref="P93:P105" si="30">ROUND(O93+N93+M93,2)</f>
        <v>0</v>
      </c>
    </row>
    <row r="94" spans="1:16" ht="13.2" x14ac:dyDescent="0.2">
      <c r="A94" s="110">
        <v>2</v>
      </c>
      <c r="B94" s="106" t="s">
        <v>60</v>
      </c>
      <c r="C94" s="111" t="s">
        <v>451</v>
      </c>
      <c r="D94" s="106" t="s">
        <v>62</v>
      </c>
      <c r="E94" s="112">
        <v>9.32</v>
      </c>
      <c r="F94" s="120"/>
      <c r="G94" s="121"/>
      <c r="H94" s="122">
        <f>ROUND(F94*G94,2)</f>
        <v>0</v>
      </c>
      <c r="I94" s="121"/>
      <c r="J94" s="121"/>
      <c r="K94" s="179">
        <f t="shared" si="25"/>
        <v>0</v>
      </c>
      <c r="L94" s="184">
        <f t="shared" si="26"/>
        <v>0</v>
      </c>
      <c r="M94" s="121">
        <f t="shared" si="27"/>
        <v>0</v>
      </c>
      <c r="N94" s="121">
        <f t="shared" si="28"/>
        <v>0</v>
      </c>
      <c r="O94" s="121">
        <f t="shared" si="29"/>
        <v>0</v>
      </c>
      <c r="P94" s="123">
        <f t="shared" si="30"/>
        <v>0</v>
      </c>
    </row>
    <row r="95" spans="1:16" ht="13.2" x14ac:dyDescent="0.2">
      <c r="A95" s="110">
        <v>3</v>
      </c>
      <c r="B95" s="106" t="s">
        <v>60</v>
      </c>
      <c r="C95" s="111" t="s">
        <v>452</v>
      </c>
      <c r="D95" s="106" t="s">
        <v>73</v>
      </c>
      <c r="E95" s="112">
        <v>4.6399999999999997</v>
      </c>
      <c r="F95" s="120"/>
      <c r="G95" s="121"/>
      <c r="H95" s="122">
        <f>ROUND(F95*G95,2)</f>
        <v>0</v>
      </c>
      <c r="I95" s="121"/>
      <c r="J95" s="121"/>
      <c r="K95" s="179">
        <f t="shared" si="25"/>
        <v>0</v>
      </c>
      <c r="L95" s="184">
        <f t="shared" si="26"/>
        <v>0</v>
      </c>
      <c r="M95" s="121">
        <f t="shared" si="27"/>
        <v>0</v>
      </c>
      <c r="N95" s="121">
        <f t="shared" si="28"/>
        <v>0</v>
      </c>
      <c r="O95" s="121">
        <f t="shared" si="29"/>
        <v>0</v>
      </c>
      <c r="P95" s="123">
        <f t="shared" si="30"/>
        <v>0</v>
      </c>
    </row>
    <row r="96" spans="1:16" ht="13.2" x14ac:dyDescent="0.2">
      <c r="A96" s="110">
        <v>4</v>
      </c>
      <c r="B96" s="106"/>
      <c r="C96" s="99" t="s">
        <v>453</v>
      </c>
      <c r="D96" s="106" t="s">
        <v>99</v>
      </c>
      <c r="E96" s="154">
        <f>E95*5*1.5</f>
        <v>34.799999999999997</v>
      </c>
      <c r="F96" s="120"/>
      <c r="G96" s="121"/>
      <c r="H96" s="122"/>
      <c r="I96" s="121"/>
      <c r="J96" s="121"/>
      <c r="K96" s="179">
        <f t="shared" si="25"/>
        <v>0</v>
      </c>
      <c r="L96" s="184">
        <f t="shared" si="26"/>
        <v>0</v>
      </c>
      <c r="M96" s="121">
        <f t="shared" si="27"/>
        <v>0</v>
      </c>
      <c r="N96" s="121">
        <f t="shared" si="28"/>
        <v>0</v>
      </c>
      <c r="O96" s="121">
        <f t="shared" si="29"/>
        <v>0</v>
      </c>
      <c r="P96" s="123">
        <f t="shared" si="30"/>
        <v>0</v>
      </c>
    </row>
    <row r="97" spans="1:16" ht="13.2" x14ac:dyDescent="0.2">
      <c r="A97" s="110">
        <v>5</v>
      </c>
      <c r="B97" s="106"/>
      <c r="C97" s="99" t="s">
        <v>101</v>
      </c>
      <c r="D97" s="106" t="s">
        <v>73</v>
      </c>
      <c r="E97" s="112">
        <f>E95*1.2</f>
        <v>5.5679999999999996</v>
      </c>
      <c r="F97" s="120"/>
      <c r="G97" s="121"/>
      <c r="H97" s="122"/>
      <c r="I97" s="121"/>
      <c r="J97" s="121"/>
      <c r="K97" s="179">
        <f t="shared" si="25"/>
        <v>0</v>
      </c>
      <c r="L97" s="184">
        <f t="shared" si="26"/>
        <v>0</v>
      </c>
      <c r="M97" s="121">
        <f t="shared" si="27"/>
        <v>0</v>
      </c>
      <c r="N97" s="121">
        <f t="shared" si="28"/>
        <v>0</v>
      </c>
      <c r="O97" s="121">
        <f t="shared" si="29"/>
        <v>0</v>
      </c>
      <c r="P97" s="123">
        <f t="shared" si="30"/>
        <v>0</v>
      </c>
    </row>
    <row r="98" spans="1:16" ht="26.4" x14ac:dyDescent="0.2">
      <c r="A98" s="110">
        <v>6</v>
      </c>
      <c r="B98" s="106"/>
      <c r="C98" s="99" t="s">
        <v>454</v>
      </c>
      <c r="D98" s="106" t="s">
        <v>89</v>
      </c>
      <c r="E98" s="112">
        <f>0.08*1.1</f>
        <v>8.8000000000000009E-2</v>
      </c>
      <c r="F98" s="120"/>
      <c r="G98" s="121"/>
      <c r="H98" s="122"/>
      <c r="I98" s="121"/>
      <c r="J98" s="121"/>
      <c r="K98" s="179">
        <f t="shared" si="25"/>
        <v>0</v>
      </c>
      <c r="L98" s="184">
        <f t="shared" si="26"/>
        <v>0</v>
      </c>
      <c r="M98" s="121">
        <f t="shared" si="27"/>
        <v>0</v>
      </c>
      <c r="N98" s="121">
        <f t="shared" si="28"/>
        <v>0</v>
      </c>
      <c r="O98" s="121">
        <f t="shared" si="29"/>
        <v>0</v>
      </c>
      <c r="P98" s="123">
        <f t="shared" si="30"/>
        <v>0</v>
      </c>
    </row>
    <row r="99" spans="1:16" ht="26.4" x14ac:dyDescent="0.2">
      <c r="A99" s="110">
        <v>7</v>
      </c>
      <c r="B99" s="106" t="s">
        <v>60</v>
      </c>
      <c r="C99" s="111" t="s">
        <v>428</v>
      </c>
      <c r="D99" s="106" t="s">
        <v>73</v>
      </c>
      <c r="E99" s="112">
        <v>2.89</v>
      </c>
      <c r="F99" s="120"/>
      <c r="G99" s="121"/>
      <c r="H99" s="122">
        <f>ROUND(F99*G99,2)</f>
        <v>0</v>
      </c>
      <c r="I99" s="121"/>
      <c r="J99" s="121"/>
      <c r="K99" s="179">
        <f t="shared" si="25"/>
        <v>0</v>
      </c>
      <c r="L99" s="184">
        <f t="shared" si="26"/>
        <v>0</v>
      </c>
      <c r="M99" s="121">
        <f t="shared" si="27"/>
        <v>0</v>
      </c>
      <c r="N99" s="121">
        <f t="shared" si="28"/>
        <v>0</v>
      </c>
      <c r="O99" s="121">
        <f t="shared" si="29"/>
        <v>0</v>
      </c>
      <c r="P99" s="123">
        <f t="shared" si="30"/>
        <v>0</v>
      </c>
    </row>
    <row r="100" spans="1:16" ht="26.4" x14ac:dyDescent="0.2">
      <c r="A100" s="110">
        <v>8</v>
      </c>
      <c r="B100" s="106"/>
      <c r="C100" s="99" t="s">
        <v>471</v>
      </c>
      <c r="D100" s="106" t="s">
        <v>73</v>
      </c>
      <c r="E100" s="112">
        <f>E99*1.2</f>
        <v>3.468</v>
      </c>
      <c r="F100" s="120"/>
      <c r="G100" s="121"/>
      <c r="H100" s="122"/>
      <c r="I100" s="121"/>
      <c r="J100" s="121"/>
      <c r="K100" s="179">
        <f t="shared" si="25"/>
        <v>0</v>
      </c>
      <c r="L100" s="184">
        <f t="shared" si="26"/>
        <v>0</v>
      </c>
      <c r="M100" s="121">
        <f t="shared" si="27"/>
        <v>0</v>
      </c>
      <c r="N100" s="121">
        <f t="shared" si="28"/>
        <v>0</v>
      </c>
      <c r="O100" s="121">
        <f t="shared" si="29"/>
        <v>0</v>
      </c>
      <c r="P100" s="123">
        <f t="shared" si="30"/>
        <v>0</v>
      </c>
    </row>
    <row r="101" spans="1:16" ht="13.2" x14ac:dyDescent="0.2">
      <c r="A101" s="110">
        <v>9</v>
      </c>
      <c r="B101" s="106"/>
      <c r="C101" s="99" t="s">
        <v>341</v>
      </c>
      <c r="D101" s="106" t="s">
        <v>99</v>
      </c>
      <c r="E101" s="112">
        <f>E99*0.3</f>
        <v>0.86699999999999999</v>
      </c>
      <c r="F101" s="120"/>
      <c r="G101" s="121"/>
      <c r="H101" s="122"/>
      <c r="I101" s="121"/>
      <c r="J101" s="121"/>
      <c r="K101" s="179">
        <f t="shared" si="25"/>
        <v>0</v>
      </c>
      <c r="L101" s="184">
        <f t="shared" si="26"/>
        <v>0</v>
      </c>
      <c r="M101" s="121">
        <f t="shared" si="27"/>
        <v>0</v>
      </c>
      <c r="N101" s="121">
        <f t="shared" si="28"/>
        <v>0</v>
      </c>
      <c r="O101" s="121">
        <f t="shared" si="29"/>
        <v>0</v>
      </c>
      <c r="P101" s="123">
        <f t="shared" si="30"/>
        <v>0</v>
      </c>
    </row>
    <row r="102" spans="1:16" ht="13.2" x14ac:dyDescent="0.2">
      <c r="A102" s="110">
        <v>10</v>
      </c>
      <c r="B102" s="106"/>
      <c r="C102" s="99" t="s">
        <v>342</v>
      </c>
      <c r="D102" s="106" t="s">
        <v>343</v>
      </c>
      <c r="E102" s="154">
        <f>E99/50</f>
        <v>5.7800000000000004E-2</v>
      </c>
      <c r="F102" s="120"/>
      <c r="G102" s="121"/>
      <c r="H102" s="122"/>
      <c r="I102" s="121"/>
      <c r="J102" s="121"/>
      <c r="K102" s="179">
        <f t="shared" si="25"/>
        <v>0</v>
      </c>
      <c r="L102" s="184">
        <f t="shared" si="26"/>
        <v>0</v>
      </c>
      <c r="M102" s="121">
        <f t="shared" si="27"/>
        <v>0</v>
      </c>
      <c r="N102" s="121">
        <f t="shared" si="28"/>
        <v>0</v>
      </c>
      <c r="O102" s="121">
        <f t="shared" si="29"/>
        <v>0</v>
      </c>
      <c r="P102" s="123">
        <f t="shared" si="30"/>
        <v>0</v>
      </c>
    </row>
    <row r="103" spans="1:16" ht="26.4" x14ac:dyDescent="0.2">
      <c r="A103" s="110">
        <v>11</v>
      </c>
      <c r="B103" s="106" t="s">
        <v>60</v>
      </c>
      <c r="C103" s="100" t="s">
        <v>455</v>
      </c>
      <c r="D103" s="106" t="s">
        <v>62</v>
      </c>
      <c r="E103" s="112">
        <v>9.32</v>
      </c>
      <c r="F103" s="120"/>
      <c r="G103" s="121"/>
      <c r="H103" s="122">
        <f>ROUND(F103*G103,2)</f>
        <v>0</v>
      </c>
      <c r="I103" s="121"/>
      <c r="J103" s="121"/>
      <c r="K103" s="179">
        <f t="shared" si="25"/>
        <v>0</v>
      </c>
      <c r="L103" s="184">
        <f t="shared" si="26"/>
        <v>0</v>
      </c>
      <c r="M103" s="121">
        <f t="shared" si="27"/>
        <v>0</v>
      </c>
      <c r="N103" s="121">
        <f t="shared" si="28"/>
        <v>0</v>
      </c>
      <c r="O103" s="121">
        <f t="shared" si="29"/>
        <v>0</v>
      </c>
      <c r="P103" s="123">
        <f t="shared" si="30"/>
        <v>0</v>
      </c>
    </row>
    <row r="104" spans="1:16" ht="26.4" x14ac:dyDescent="0.2">
      <c r="A104" s="110">
        <v>12</v>
      </c>
      <c r="B104" s="106" t="s">
        <v>60</v>
      </c>
      <c r="C104" s="100" t="s">
        <v>472</v>
      </c>
      <c r="D104" s="106" t="s">
        <v>62</v>
      </c>
      <c r="E104" s="112">
        <v>4.7</v>
      </c>
      <c r="F104" s="120"/>
      <c r="G104" s="121"/>
      <c r="H104" s="122">
        <f>ROUND(F104*G104,2)</f>
        <v>0</v>
      </c>
      <c r="I104" s="121"/>
      <c r="J104" s="121"/>
      <c r="K104" s="179">
        <f t="shared" si="25"/>
        <v>0</v>
      </c>
      <c r="L104" s="184">
        <f t="shared" si="26"/>
        <v>0</v>
      </c>
      <c r="M104" s="121">
        <f t="shared" si="27"/>
        <v>0</v>
      </c>
      <c r="N104" s="121">
        <f t="shared" si="28"/>
        <v>0</v>
      </c>
      <c r="O104" s="121">
        <f t="shared" si="29"/>
        <v>0</v>
      </c>
      <c r="P104" s="123">
        <f t="shared" si="30"/>
        <v>0</v>
      </c>
    </row>
    <row r="105" spans="1:16" ht="13.2" x14ac:dyDescent="0.2">
      <c r="A105" s="110">
        <v>13</v>
      </c>
      <c r="B105" s="106" t="s">
        <v>60</v>
      </c>
      <c r="C105" s="100" t="s">
        <v>456</v>
      </c>
      <c r="D105" s="106" t="s">
        <v>62</v>
      </c>
      <c r="E105" s="112">
        <v>9.32</v>
      </c>
      <c r="F105" s="120"/>
      <c r="G105" s="121"/>
      <c r="H105" s="122">
        <f>ROUND(F105*G105,2)</f>
        <v>0</v>
      </c>
      <c r="I105" s="121"/>
      <c r="J105" s="121"/>
      <c r="K105" s="179">
        <f t="shared" si="25"/>
        <v>0</v>
      </c>
      <c r="L105" s="184">
        <f t="shared" si="26"/>
        <v>0</v>
      </c>
      <c r="M105" s="121">
        <f t="shared" si="27"/>
        <v>0</v>
      </c>
      <c r="N105" s="121">
        <f t="shared" si="28"/>
        <v>0</v>
      </c>
      <c r="O105" s="121">
        <f t="shared" si="29"/>
        <v>0</v>
      </c>
      <c r="P105" s="123">
        <f t="shared" si="30"/>
        <v>0</v>
      </c>
    </row>
    <row r="106" spans="1:16" ht="13.2" x14ac:dyDescent="0.2">
      <c r="A106" s="140"/>
      <c r="B106" s="107"/>
      <c r="C106" s="141" t="s">
        <v>457</v>
      </c>
      <c r="D106" s="142"/>
      <c r="E106" s="143"/>
      <c r="F106" s="144"/>
      <c r="G106" s="145"/>
      <c r="H106" s="145"/>
      <c r="I106" s="145"/>
      <c r="J106" s="145"/>
      <c r="K106" s="188"/>
      <c r="L106" s="189"/>
      <c r="M106" s="145"/>
      <c r="N106" s="145"/>
      <c r="O106" s="145"/>
      <c r="P106" s="153"/>
    </row>
    <row r="107" spans="1:16" ht="26.4" x14ac:dyDescent="0.2">
      <c r="A107" s="110">
        <v>1</v>
      </c>
      <c r="B107" s="106" t="s">
        <v>60</v>
      </c>
      <c r="C107" s="111" t="s">
        <v>458</v>
      </c>
      <c r="D107" s="106" t="s">
        <v>73</v>
      </c>
      <c r="E107" s="112">
        <v>13.8</v>
      </c>
      <c r="F107" s="120"/>
      <c r="G107" s="121"/>
      <c r="H107" s="122">
        <f>ROUND(F107*G107,2)</f>
        <v>0</v>
      </c>
      <c r="I107" s="121"/>
      <c r="J107" s="121"/>
      <c r="K107" s="179">
        <f t="shared" ref="K107:K120" si="31">ROUND(H107+J107+I107,2)</f>
        <v>0</v>
      </c>
      <c r="L107" s="184">
        <f t="shared" ref="L107:L120" si="32">ROUND(E107*F107,2)</f>
        <v>0</v>
      </c>
      <c r="M107" s="121">
        <f t="shared" ref="M107:M120" si="33">ROUND(E107*H107,2)</f>
        <v>0</v>
      </c>
      <c r="N107" s="121">
        <f t="shared" ref="N107:N120" si="34">ROUND(E107*I107,2)</f>
        <v>0</v>
      </c>
      <c r="O107" s="121">
        <f t="shared" ref="O107:O120" si="35">ROUND(E107*J107,2)</f>
        <v>0</v>
      </c>
      <c r="P107" s="123">
        <f t="shared" ref="P107:P120" si="36">ROUND(O107+N107+M107,2)</f>
        <v>0</v>
      </c>
    </row>
    <row r="108" spans="1:16" ht="13.2" x14ac:dyDescent="0.2">
      <c r="A108" s="110">
        <v>2</v>
      </c>
      <c r="B108" s="106"/>
      <c r="C108" s="99" t="s">
        <v>473</v>
      </c>
      <c r="D108" s="106" t="s">
        <v>99</v>
      </c>
      <c r="E108" s="112">
        <f>E107*40*1.1</f>
        <v>607.20000000000005</v>
      </c>
      <c r="F108" s="120"/>
      <c r="G108" s="121"/>
      <c r="H108" s="122"/>
      <c r="I108" s="121"/>
      <c r="J108" s="121"/>
      <c r="K108" s="179">
        <f t="shared" si="31"/>
        <v>0</v>
      </c>
      <c r="L108" s="184">
        <f t="shared" si="32"/>
        <v>0</v>
      </c>
      <c r="M108" s="121">
        <f t="shared" si="33"/>
        <v>0</v>
      </c>
      <c r="N108" s="121">
        <f t="shared" si="34"/>
        <v>0</v>
      </c>
      <c r="O108" s="121">
        <f t="shared" si="35"/>
        <v>0</v>
      </c>
      <c r="P108" s="123">
        <f t="shared" si="36"/>
        <v>0</v>
      </c>
    </row>
    <row r="109" spans="1:16" ht="13.2" x14ac:dyDescent="0.2">
      <c r="A109" s="110">
        <v>3</v>
      </c>
      <c r="B109" s="106"/>
      <c r="C109" s="99" t="s">
        <v>119</v>
      </c>
      <c r="D109" s="106" t="s">
        <v>73</v>
      </c>
      <c r="E109" s="112">
        <f>E107</f>
        <v>13.8</v>
      </c>
      <c r="F109" s="120"/>
      <c r="G109" s="121"/>
      <c r="H109" s="122"/>
      <c r="I109" s="121"/>
      <c r="J109" s="121"/>
      <c r="K109" s="179">
        <f t="shared" si="31"/>
        <v>0</v>
      </c>
      <c r="L109" s="184">
        <f t="shared" si="32"/>
        <v>0</v>
      </c>
      <c r="M109" s="121">
        <f t="shared" si="33"/>
        <v>0</v>
      </c>
      <c r="N109" s="121">
        <f t="shared" si="34"/>
        <v>0</v>
      </c>
      <c r="O109" s="121">
        <f t="shared" si="35"/>
        <v>0</v>
      </c>
      <c r="P109" s="123">
        <f t="shared" si="36"/>
        <v>0</v>
      </c>
    </row>
    <row r="110" spans="1:16" ht="26.4" x14ac:dyDescent="0.2">
      <c r="A110" s="110">
        <v>4</v>
      </c>
      <c r="B110" s="106" t="s">
        <v>60</v>
      </c>
      <c r="C110" s="111" t="s">
        <v>459</v>
      </c>
      <c r="D110" s="106" t="s">
        <v>62</v>
      </c>
      <c r="E110" s="154">
        <v>21.4</v>
      </c>
      <c r="F110" s="120"/>
      <c r="G110" s="121"/>
      <c r="H110" s="122">
        <f>ROUND(F110*G110,2)</f>
        <v>0</v>
      </c>
      <c r="I110" s="121"/>
      <c r="J110" s="121"/>
      <c r="K110" s="179">
        <f t="shared" si="31"/>
        <v>0</v>
      </c>
      <c r="L110" s="184">
        <f t="shared" si="32"/>
        <v>0</v>
      </c>
      <c r="M110" s="121">
        <f t="shared" si="33"/>
        <v>0</v>
      </c>
      <c r="N110" s="121">
        <f t="shared" si="34"/>
        <v>0</v>
      </c>
      <c r="O110" s="121">
        <f t="shared" si="35"/>
        <v>0</v>
      </c>
      <c r="P110" s="123">
        <f t="shared" si="36"/>
        <v>0</v>
      </c>
    </row>
    <row r="111" spans="1:16" ht="26.4" x14ac:dyDescent="0.2">
      <c r="A111" s="110">
        <v>5</v>
      </c>
      <c r="B111" s="106" t="s">
        <v>60</v>
      </c>
      <c r="C111" s="111" t="s">
        <v>428</v>
      </c>
      <c r="D111" s="106" t="s">
        <v>73</v>
      </c>
      <c r="E111" s="112">
        <v>13.8</v>
      </c>
      <c r="F111" s="120"/>
      <c r="G111" s="121"/>
      <c r="H111" s="122">
        <f>ROUND(F111*G111,2)</f>
        <v>0</v>
      </c>
      <c r="I111" s="121"/>
      <c r="J111" s="121"/>
      <c r="K111" s="179">
        <f t="shared" si="31"/>
        <v>0</v>
      </c>
      <c r="L111" s="184">
        <f t="shared" si="32"/>
        <v>0</v>
      </c>
      <c r="M111" s="121">
        <f t="shared" si="33"/>
        <v>0</v>
      </c>
      <c r="N111" s="121">
        <f t="shared" si="34"/>
        <v>0</v>
      </c>
      <c r="O111" s="121">
        <f t="shared" si="35"/>
        <v>0</v>
      </c>
      <c r="P111" s="123">
        <f t="shared" si="36"/>
        <v>0</v>
      </c>
    </row>
    <row r="112" spans="1:16" ht="26.4" x14ac:dyDescent="0.2">
      <c r="A112" s="110">
        <v>6</v>
      </c>
      <c r="B112" s="106"/>
      <c r="C112" s="99" t="s">
        <v>470</v>
      </c>
      <c r="D112" s="106" t="s">
        <v>73</v>
      </c>
      <c r="E112" s="112">
        <f>E111*1.2</f>
        <v>16.559999999999999</v>
      </c>
      <c r="F112" s="120"/>
      <c r="G112" s="121"/>
      <c r="H112" s="122"/>
      <c r="I112" s="121"/>
      <c r="J112" s="121"/>
      <c r="K112" s="179">
        <f t="shared" si="31"/>
        <v>0</v>
      </c>
      <c r="L112" s="184">
        <f t="shared" si="32"/>
        <v>0</v>
      </c>
      <c r="M112" s="121">
        <f t="shared" si="33"/>
        <v>0</v>
      </c>
      <c r="N112" s="121">
        <f t="shared" si="34"/>
        <v>0</v>
      </c>
      <c r="O112" s="121">
        <f t="shared" si="35"/>
        <v>0</v>
      </c>
      <c r="P112" s="123">
        <f t="shared" si="36"/>
        <v>0</v>
      </c>
    </row>
    <row r="113" spans="1:16" ht="13.2" x14ac:dyDescent="0.2">
      <c r="A113" s="110">
        <v>7</v>
      </c>
      <c r="B113" s="106"/>
      <c r="C113" s="99" t="s">
        <v>341</v>
      </c>
      <c r="D113" s="106" t="s">
        <v>99</v>
      </c>
      <c r="E113" s="112">
        <f>E111*0.3</f>
        <v>4.1399999999999997</v>
      </c>
      <c r="F113" s="120"/>
      <c r="G113" s="121"/>
      <c r="H113" s="122"/>
      <c r="I113" s="121"/>
      <c r="J113" s="121"/>
      <c r="K113" s="179">
        <f t="shared" si="31"/>
        <v>0</v>
      </c>
      <c r="L113" s="184">
        <f t="shared" si="32"/>
        <v>0</v>
      </c>
      <c r="M113" s="121">
        <f t="shared" si="33"/>
        <v>0</v>
      </c>
      <c r="N113" s="121">
        <f t="shared" si="34"/>
        <v>0</v>
      </c>
      <c r="O113" s="121">
        <f t="shared" si="35"/>
        <v>0</v>
      </c>
      <c r="P113" s="123">
        <f t="shared" si="36"/>
        <v>0</v>
      </c>
    </row>
    <row r="114" spans="1:16" ht="13.2" x14ac:dyDescent="0.2">
      <c r="A114" s="110">
        <v>8</v>
      </c>
      <c r="B114" s="106"/>
      <c r="C114" s="99" t="s">
        <v>342</v>
      </c>
      <c r="D114" s="106" t="s">
        <v>343</v>
      </c>
      <c r="E114" s="154">
        <f>E111/50</f>
        <v>0.27600000000000002</v>
      </c>
      <c r="F114" s="120"/>
      <c r="G114" s="121"/>
      <c r="H114" s="122"/>
      <c r="I114" s="121"/>
      <c r="J114" s="121"/>
      <c r="K114" s="179">
        <f t="shared" si="31"/>
        <v>0</v>
      </c>
      <c r="L114" s="184">
        <f t="shared" si="32"/>
        <v>0</v>
      </c>
      <c r="M114" s="121">
        <f t="shared" si="33"/>
        <v>0</v>
      </c>
      <c r="N114" s="121">
        <f t="shared" si="34"/>
        <v>0</v>
      </c>
      <c r="O114" s="121">
        <f t="shared" si="35"/>
        <v>0</v>
      </c>
      <c r="P114" s="123">
        <f t="shared" si="36"/>
        <v>0</v>
      </c>
    </row>
    <row r="115" spans="1:16" ht="26.4" x14ac:dyDescent="0.2">
      <c r="A115" s="110">
        <v>9</v>
      </c>
      <c r="B115" s="106" t="s">
        <v>60</v>
      </c>
      <c r="C115" s="111" t="s">
        <v>460</v>
      </c>
      <c r="D115" s="106" t="s">
        <v>73</v>
      </c>
      <c r="E115" s="112">
        <v>10.5</v>
      </c>
      <c r="F115" s="120"/>
      <c r="G115" s="121"/>
      <c r="H115" s="122">
        <f>ROUND(F115*G115,2)</f>
        <v>0</v>
      </c>
      <c r="I115" s="121"/>
      <c r="J115" s="121"/>
      <c r="K115" s="179">
        <f t="shared" si="31"/>
        <v>0</v>
      </c>
      <c r="L115" s="184">
        <f t="shared" si="32"/>
        <v>0</v>
      </c>
      <c r="M115" s="121">
        <f t="shared" si="33"/>
        <v>0</v>
      </c>
      <c r="N115" s="121">
        <f t="shared" si="34"/>
        <v>0</v>
      </c>
      <c r="O115" s="121">
        <f t="shared" si="35"/>
        <v>0</v>
      </c>
      <c r="P115" s="123">
        <f t="shared" si="36"/>
        <v>0</v>
      </c>
    </row>
    <row r="116" spans="1:16" ht="13.2" x14ac:dyDescent="0.2">
      <c r="A116" s="110">
        <v>10</v>
      </c>
      <c r="B116" s="106" t="s">
        <v>60</v>
      </c>
      <c r="C116" s="111" t="s">
        <v>339</v>
      </c>
      <c r="D116" s="106" t="s">
        <v>62</v>
      </c>
      <c r="E116" s="112">
        <v>7.4</v>
      </c>
      <c r="F116" s="120"/>
      <c r="G116" s="121"/>
      <c r="H116" s="122">
        <f>ROUND(F116*G116,2)</f>
        <v>0</v>
      </c>
      <c r="I116" s="121"/>
      <c r="J116" s="121"/>
      <c r="K116" s="179">
        <f t="shared" si="31"/>
        <v>0</v>
      </c>
      <c r="L116" s="184">
        <f t="shared" si="32"/>
        <v>0</v>
      </c>
      <c r="M116" s="121">
        <f t="shared" si="33"/>
        <v>0</v>
      </c>
      <c r="N116" s="121">
        <f t="shared" si="34"/>
        <v>0</v>
      </c>
      <c r="O116" s="121">
        <f t="shared" si="35"/>
        <v>0</v>
      </c>
      <c r="P116" s="123">
        <f t="shared" si="36"/>
        <v>0</v>
      </c>
    </row>
    <row r="117" spans="1:16" ht="26.4" x14ac:dyDescent="0.2">
      <c r="A117" s="110">
        <v>11</v>
      </c>
      <c r="B117" s="106" t="s">
        <v>60</v>
      </c>
      <c r="C117" s="111" t="s">
        <v>428</v>
      </c>
      <c r="D117" s="106" t="s">
        <v>73</v>
      </c>
      <c r="E117" s="112">
        <v>37.799999999999997</v>
      </c>
      <c r="F117" s="120"/>
      <c r="G117" s="121"/>
      <c r="H117" s="122">
        <f>ROUND(F117*G117,2)</f>
        <v>0</v>
      </c>
      <c r="I117" s="121"/>
      <c r="J117" s="121"/>
      <c r="K117" s="179">
        <f t="shared" si="31"/>
        <v>0</v>
      </c>
      <c r="L117" s="184">
        <f t="shared" si="32"/>
        <v>0</v>
      </c>
      <c r="M117" s="121">
        <f t="shared" si="33"/>
        <v>0</v>
      </c>
      <c r="N117" s="121">
        <f t="shared" si="34"/>
        <v>0</v>
      </c>
      <c r="O117" s="121">
        <f t="shared" si="35"/>
        <v>0</v>
      </c>
      <c r="P117" s="123">
        <f t="shared" si="36"/>
        <v>0</v>
      </c>
    </row>
    <row r="118" spans="1:16" ht="26.4" x14ac:dyDescent="0.2">
      <c r="A118" s="110">
        <v>12</v>
      </c>
      <c r="B118" s="106"/>
      <c r="C118" s="99" t="s">
        <v>474</v>
      </c>
      <c r="D118" s="106" t="s">
        <v>73</v>
      </c>
      <c r="E118" s="112">
        <f>E117*1.2</f>
        <v>45.359999999999992</v>
      </c>
      <c r="F118" s="120"/>
      <c r="G118" s="121"/>
      <c r="H118" s="122"/>
      <c r="I118" s="121"/>
      <c r="J118" s="121"/>
      <c r="K118" s="179">
        <f t="shared" si="31"/>
        <v>0</v>
      </c>
      <c r="L118" s="184">
        <f t="shared" si="32"/>
        <v>0</v>
      </c>
      <c r="M118" s="121">
        <f t="shared" si="33"/>
        <v>0</v>
      </c>
      <c r="N118" s="121">
        <f t="shared" si="34"/>
        <v>0</v>
      </c>
      <c r="O118" s="121">
        <f t="shared" si="35"/>
        <v>0</v>
      </c>
      <c r="P118" s="123">
        <f t="shared" si="36"/>
        <v>0</v>
      </c>
    </row>
    <row r="119" spans="1:16" ht="13.2" x14ac:dyDescent="0.2">
      <c r="A119" s="110">
        <v>13</v>
      </c>
      <c r="B119" s="106"/>
      <c r="C119" s="99" t="s">
        <v>341</v>
      </c>
      <c r="D119" s="106" t="s">
        <v>99</v>
      </c>
      <c r="E119" s="112">
        <f>E117*0.3</f>
        <v>11.339999999999998</v>
      </c>
      <c r="F119" s="120"/>
      <c r="G119" s="121"/>
      <c r="H119" s="122"/>
      <c r="I119" s="121"/>
      <c r="J119" s="121"/>
      <c r="K119" s="179">
        <f t="shared" si="31"/>
        <v>0</v>
      </c>
      <c r="L119" s="184">
        <f t="shared" si="32"/>
        <v>0</v>
      </c>
      <c r="M119" s="121">
        <f t="shared" si="33"/>
        <v>0</v>
      </c>
      <c r="N119" s="121">
        <f t="shared" si="34"/>
        <v>0</v>
      </c>
      <c r="O119" s="121">
        <f t="shared" si="35"/>
        <v>0</v>
      </c>
      <c r="P119" s="123">
        <f t="shared" si="36"/>
        <v>0</v>
      </c>
    </row>
    <row r="120" spans="1:16" ht="13.2" x14ac:dyDescent="0.2">
      <c r="A120" s="110">
        <v>14</v>
      </c>
      <c r="B120" s="106"/>
      <c r="C120" s="99" t="s">
        <v>342</v>
      </c>
      <c r="D120" s="106" t="s">
        <v>343</v>
      </c>
      <c r="E120" s="154">
        <f>E117/50</f>
        <v>0.75599999999999989</v>
      </c>
      <c r="F120" s="120"/>
      <c r="G120" s="121"/>
      <c r="H120" s="122"/>
      <c r="I120" s="121"/>
      <c r="J120" s="121"/>
      <c r="K120" s="179">
        <f t="shared" si="31"/>
        <v>0</v>
      </c>
      <c r="L120" s="184">
        <f t="shared" si="32"/>
        <v>0</v>
      </c>
      <c r="M120" s="121">
        <f t="shared" si="33"/>
        <v>0</v>
      </c>
      <c r="N120" s="121">
        <f t="shared" si="34"/>
        <v>0</v>
      </c>
      <c r="O120" s="121">
        <f t="shared" si="35"/>
        <v>0</v>
      </c>
      <c r="P120" s="123">
        <f t="shared" si="36"/>
        <v>0</v>
      </c>
    </row>
    <row r="121" spans="1:16" ht="13.2" x14ac:dyDescent="0.2">
      <c r="A121" s="140"/>
      <c r="B121" s="107"/>
      <c r="C121" s="141" t="s">
        <v>461</v>
      </c>
      <c r="D121" s="142"/>
      <c r="E121" s="143"/>
      <c r="F121" s="144"/>
      <c r="G121" s="145"/>
      <c r="H121" s="145"/>
      <c r="I121" s="145"/>
      <c r="J121" s="145"/>
      <c r="K121" s="188"/>
      <c r="L121" s="189"/>
      <c r="M121" s="145"/>
      <c r="N121" s="145"/>
      <c r="O121" s="145"/>
      <c r="P121" s="153"/>
    </row>
    <row r="122" spans="1:16" ht="13.2" x14ac:dyDescent="0.2">
      <c r="A122" s="110">
        <v>1</v>
      </c>
      <c r="B122" s="106" t="s">
        <v>60</v>
      </c>
      <c r="C122" s="111" t="s">
        <v>475</v>
      </c>
      <c r="D122" s="106" t="s">
        <v>73</v>
      </c>
      <c r="E122" s="112">
        <v>2.79</v>
      </c>
      <c r="F122" s="120"/>
      <c r="G122" s="121"/>
      <c r="H122" s="122">
        <f>ROUND(F122*G122,2)</f>
        <v>0</v>
      </c>
      <c r="I122" s="121"/>
      <c r="J122" s="121"/>
      <c r="K122" s="179">
        <f t="shared" ref="K122:K137" si="37">ROUND(H122+J122+I122,2)</f>
        <v>0</v>
      </c>
      <c r="L122" s="184">
        <f t="shared" ref="L122:L137" si="38">ROUND(E122*F122,2)</f>
        <v>0</v>
      </c>
      <c r="M122" s="121">
        <f t="shared" ref="M122:M137" si="39">ROUND(E122*H122,2)</f>
        <v>0</v>
      </c>
      <c r="N122" s="121">
        <f t="shared" ref="N122:N137" si="40">ROUND(E122*I122,2)</f>
        <v>0</v>
      </c>
      <c r="O122" s="121">
        <f t="shared" ref="O122:O137" si="41">ROUND(E122*J122,2)</f>
        <v>0</v>
      </c>
      <c r="P122" s="123">
        <f t="shared" ref="P122:P137" si="42">ROUND(O122+N122+M122,2)</f>
        <v>0</v>
      </c>
    </row>
    <row r="123" spans="1:16" ht="13.2" x14ac:dyDescent="0.2">
      <c r="A123" s="110">
        <v>2</v>
      </c>
      <c r="B123" s="106" t="s">
        <v>60</v>
      </c>
      <c r="C123" s="111" t="s">
        <v>451</v>
      </c>
      <c r="D123" s="106" t="s">
        <v>62</v>
      </c>
      <c r="E123" s="112">
        <v>18.600000000000001</v>
      </c>
      <c r="F123" s="120"/>
      <c r="G123" s="121"/>
      <c r="H123" s="122">
        <f>ROUND(F123*G123,2)</f>
        <v>0</v>
      </c>
      <c r="I123" s="121"/>
      <c r="J123" s="121"/>
      <c r="K123" s="179">
        <f t="shared" si="37"/>
        <v>0</v>
      </c>
      <c r="L123" s="184">
        <f t="shared" si="38"/>
        <v>0</v>
      </c>
      <c r="M123" s="121">
        <f t="shared" si="39"/>
        <v>0</v>
      </c>
      <c r="N123" s="121">
        <f t="shared" si="40"/>
        <v>0</v>
      </c>
      <c r="O123" s="121">
        <f t="shared" si="41"/>
        <v>0</v>
      </c>
      <c r="P123" s="123">
        <f t="shared" si="42"/>
        <v>0</v>
      </c>
    </row>
    <row r="124" spans="1:16" ht="26.4" x14ac:dyDescent="0.2">
      <c r="A124" s="110">
        <v>3</v>
      </c>
      <c r="B124" s="106" t="s">
        <v>60</v>
      </c>
      <c r="C124" s="111" t="s">
        <v>476</v>
      </c>
      <c r="D124" s="106" t="s">
        <v>62</v>
      </c>
      <c r="E124" s="154">
        <v>18.600000000000001</v>
      </c>
      <c r="F124" s="120"/>
      <c r="G124" s="121"/>
      <c r="H124" s="122">
        <f>ROUND(F124*G124,2)</f>
        <v>0</v>
      </c>
      <c r="I124" s="121"/>
      <c r="J124" s="121"/>
      <c r="K124" s="179">
        <f t="shared" si="37"/>
        <v>0</v>
      </c>
      <c r="L124" s="184">
        <f t="shared" si="38"/>
        <v>0</v>
      </c>
      <c r="M124" s="121">
        <f t="shared" si="39"/>
        <v>0</v>
      </c>
      <c r="N124" s="121">
        <f t="shared" si="40"/>
        <v>0</v>
      </c>
      <c r="O124" s="121">
        <f t="shared" si="41"/>
        <v>0</v>
      </c>
      <c r="P124" s="123">
        <f t="shared" si="42"/>
        <v>0</v>
      </c>
    </row>
    <row r="125" spans="1:16" ht="26.4" x14ac:dyDescent="0.2">
      <c r="A125" s="110">
        <v>4</v>
      </c>
      <c r="B125" s="106" t="s">
        <v>60</v>
      </c>
      <c r="C125" s="111" t="s">
        <v>428</v>
      </c>
      <c r="D125" s="106" t="s">
        <v>73</v>
      </c>
      <c r="E125" s="112">
        <v>5.77</v>
      </c>
      <c r="F125" s="120"/>
      <c r="G125" s="121"/>
      <c r="H125" s="122">
        <f>ROUND(F125*G125,2)</f>
        <v>0</v>
      </c>
      <c r="I125" s="121"/>
      <c r="J125" s="121"/>
      <c r="K125" s="179">
        <f t="shared" si="37"/>
        <v>0</v>
      </c>
      <c r="L125" s="184">
        <f t="shared" si="38"/>
        <v>0</v>
      </c>
      <c r="M125" s="121">
        <f t="shared" si="39"/>
        <v>0</v>
      </c>
      <c r="N125" s="121">
        <f t="shared" si="40"/>
        <v>0</v>
      </c>
      <c r="O125" s="121">
        <f t="shared" si="41"/>
        <v>0</v>
      </c>
      <c r="P125" s="123">
        <f t="shared" si="42"/>
        <v>0</v>
      </c>
    </row>
    <row r="126" spans="1:16" ht="26.4" x14ac:dyDescent="0.2">
      <c r="A126" s="110">
        <v>5</v>
      </c>
      <c r="B126" s="106"/>
      <c r="C126" s="99" t="s">
        <v>470</v>
      </c>
      <c r="D126" s="106" t="s">
        <v>73</v>
      </c>
      <c r="E126" s="112">
        <f>E125*1.2</f>
        <v>6.9239999999999995</v>
      </c>
      <c r="F126" s="120"/>
      <c r="G126" s="121"/>
      <c r="H126" s="122"/>
      <c r="I126" s="121"/>
      <c r="J126" s="121"/>
      <c r="K126" s="179">
        <f t="shared" si="37"/>
        <v>0</v>
      </c>
      <c r="L126" s="184">
        <f t="shared" si="38"/>
        <v>0</v>
      </c>
      <c r="M126" s="121">
        <f t="shared" si="39"/>
        <v>0</v>
      </c>
      <c r="N126" s="121">
        <f t="shared" si="40"/>
        <v>0</v>
      </c>
      <c r="O126" s="121">
        <f t="shared" si="41"/>
        <v>0</v>
      </c>
      <c r="P126" s="123">
        <f t="shared" si="42"/>
        <v>0</v>
      </c>
    </row>
    <row r="127" spans="1:16" ht="13.2" x14ac:dyDescent="0.2">
      <c r="A127" s="110">
        <v>6</v>
      </c>
      <c r="B127" s="106"/>
      <c r="C127" s="99" t="s">
        <v>341</v>
      </c>
      <c r="D127" s="106" t="s">
        <v>99</v>
      </c>
      <c r="E127" s="112">
        <f>E125*0.3</f>
        <v>1.7309999999999999</v>
      </c>
      <c r="F127" s="120"/>
      <c r="G127" s="121"/>
      <c r="H127" s="122"/>
      <c r="I127" s="121"/>
      <c r="J127" s="121"/>
      <c r="K127" s="179">
        <f t="shared" si="37"/>
        <v>0</v>
      </c>
      <c r="L127" s="184">
        <f t="shared" si="38"/>
        <v>0</v>
      </c>
      <c r="M127" s="121">
        <f t="shared" si="39"/>
        <v>0</v>
      </c>
      <c r="N127" s="121">
        <f t="shared" si="40"/>
        <v>0</v>
      </c>
      <c r="O127" s="121">
        <f t="shared" si="41"/>
        <v>0</v>
      </c>
      <c r="P127" s="123">
        <f t="shared" si="42"/>
        <v>0</v>
      </c>
    </row>
    <row r="128" spans="1:16" ht="13.2" x14ac:dyDescent="0.2">
      <c r="A128" s="110">
        <v>7</v>
      </c>
      <c r="B128" s="106"/>
      <c r="C128" s="99" t="s">
        <v>342</v>
      </c>
      <c r="D128" s="106" t="s">
        <v>343</v>
      </c>
      <c r="E128" s="154">
        <f>E125/50</f>
        <v>0.11539999999999999</v>
      </c>
      <c r="F128" s="120"/>
      <c r="G128" s="121"/>
      <c r="H128" s="122"/>
      <c r="I128" s="121"/>
      <c r="J128" s="121"/>
      <c r="K128" s="179">
        <f t="shared" si="37"/>
        <v>0</v>
      </c>
      <c r="L128" s="184">
        <f t="shared" si="38"/>
        <v>0</v>
      </c>
      <c r="M128" s="121">
        <f t="shared" si="39"/>
        <v>0</v>
      </c>
      <c r="N128" s="121">
        <f t="shared" si="40"/>
        <v>0</v>
      </c>
      <c r="O128" s="121">
        <f t="shared" si="41"/>
        <v>0</v>
      </c>
      <c r="P128" s="123">
        <f t="shared" si="42"/>
        <v>0</v>
      </c>
    </row>
    <row r="129" spans="1:25" ht="13.2" x14ac:dyDescent="0.2">
      <c r="A129" s="110">
        <v>8</v>
      </c>
      <c r="B129" s="106" t="s">
        <v>60</v>
      </c>
      <c r="C129" s="111" t="s">
        <v>304</v>
      </c>
      <c r="D129" s="106" t="s">
        <v>73</v>
      </c>
      <c r="E129" s="112">
        <v>38.630000000000003</v>
      </c>
      <c r="F129" s="120"/>
      <c r="G129" s="121"/>
      <c r="H129" s="122">
        <f>ROUND(F129*G129,2)</f>
        <v>0</v>
      </c>
      <c r="I129" s="121"/>
      <c r="J129" s="121"/>
      <c r="K129" s="179">
        <f t="shared" si="37"/>
        <v>0</v>
      </c>
      <c r="L129" s="184">
        <f t="shared" si="38"/>
        <v>0</v>
      </c>
      <c r="M129" s="121">
        <f t="shared" si="39"/>
        <v>0</v>
      </c>
      <c r="N129" s="121">
        <f t="shared" si="40"/>
        <v>0</v>
      </c>
      <c r="O129" s="121">
        <f t="shared" si="41"/>
        <v>0</v>
      </c>
      <c r="P129" s="123">
        <f t="shared" si="42"/>
        <v>0</v>
      </c>
    </row>
    <row r="130" spans="1:25" ht="13.2" x14ac:dyDescent="0.2">
      <c r="A130" s="110">
        <v>9</v>
      </c>
      <c r="B130" s="106" t="s">
        <v>60</v>
      </c>
      <c r="C130" s="111" t="s">
        <v>247</v>
      </c>
      <c r="D130" s="106" t="s">
        <v>73</v>
      </c>
      <c r="E130" s="112">
        <v>38.630000000000003</v>
      </c>
      <c r="F130" s="120"/>
      <c r="G130" s="121"/>
      <c r="H130" s="122">
        <f>ROUND(F130*G130,2)</f>
        <v>0</v>
      </c>
      <c r="I130" s="121"/>
      <c r="J130" s="121"/>
      <c r="K130" s="179">
        <f t="shared" si="37"/>
        <v>0</v>
      </c>
      <c r="L130" s="184">
        <f t="shared" si="38"/>
        <v>0</v>
      </c>
      <c r="M130" s="121">
        <f t="shared" si="39"/>
        <v>0</v>
      </c>
      <c r="N130" s="121">
        <f t="shared" si="40"/>
        <v>0</v>
      </c>
      <c r="O130" s="121">
        <f t="shared" si="41"/>
        <v>0</v>
      </c>
      <c r="P130" s="123">
        <f t="shared" si="42"/>
        <v>0</v>
      </c>
    </row>
    <row r="131" spans="1:25" ht="13.2" x14ac:dyDescent="0.2">
      <c r="A131" s="110">
        <v>10</v>
      </c>
      <c r="B131" s="106"/>
      <c r="C131" s="99" t="s">
        <v>292</v>
      </c>
      <c r="D131" s="106" t="s">
        <v>96</v>
      </c>
      <c r="E131" s="112">
        <f>E130*0.17</f>
        <v>6.5671000000000008</v>
      </c>
      <c r="F131" s="120"/>
      <c r="G131" s="121"/>
      <c r="H131" s="122"/>
      <c r="I131" s="121"/>
      <c r="J131" s="121"/>
      <c r="K131" s="179">
        <f t="shared" si="37"/>
        <v>0</v>
      </c>
      <c r="L131" s="184">
        <f t="shared" si="38"/>
        <v>0</v>
      </c>
      <c r="M131" s="121">
        <f t="shared" si="39"/>
        <v>0</v>
      </c>
      <c r="N131" s="121">
        <f t="shared" si="40"/>
        <v>0</v>
      </c>
      <c r="O131" s="121">
        <f t="shared" si="41"/>
        <v>0</v>
      </c>
      <c r="P131" s="123">
        <f t="shared" si="42"/>
        <v>0</v>
      </c>
      <c r="Q131" s="293"/>
      <c r="R131" s="294"/>
      <c r="S131" s="294"/>
      <c r="T131" s="294"/>
      <c r="U131" s="294"/>
      <c r="V131" s="294"/>
      <c r="W131" s="294"/>
      <c r="X131" s="294"/>
      <c r="Y131" s="294"/>
    </row>
    <row r="132" spans="1:25" ht="13.2" x14ac:dyDescent="0.2">
      <c r="A132" s="110">
        <v>11</v>
      </c>
      <c r="B132" s="106"/>
      <c r="C132" s="99" t="s">
        <v>293</v>
      </c>
      <c r="D132" s="106" t="s">
        <v>99</v>
      </c>
      <c r="E132" s="112">
        <f>E130*1.53*6*1.1</f>
        <v>390.08574000000004</v>
      </c>
      <c r="F132" s="120"/>
      <c r="G132" s="121"/>
      <c r="H132" s="122"/>
      <c r="I132" s="121"/>
      <c r="J132" s="121"/>
      <c r="K132" s="179">
        <f t="shared" si="37"/>
        <v>0</v>
      </c>
      <c r="L132" s="184">
        <f t="shared" si="38"/>
        <v>0</v>
      </c>
      <c r="M132" s="121">
        <f t="shared" si="39"/>
        <v>0</v>
      </c>
      <c r="N132" s="121">
        <f t="shared" si="40"/>
        <v>0</v>
      </c>
      <c r="O132" s="121">
        <f t="shared" si="41"/>
        <v>0</v>
      </c>
      <c r="P132" s="123">
        <f t="shared" si="42"/>
        <v>0</v>
      </c>
    </row>
    <row r="133" spans="1:25" ht="13.2" x14ac:dyDescent="0.2">
      <c r="A133" s="110">
        <v>12</v>
      </c>
      <c r="B133" s="106"/>
      <c r="C133" s="99" t="s">
        <v>101</v>
      </c>
      <c r="D133" s="106" t="s">
        <v>73</v>
      </c>
      <c r="E133" s="154">
        <f>E130*1.2</f>
        <v>46.356000000000002</v>
      </c>
      <c r="F133" s="120"/>
      <c r="G133" s="121"/>
      <c r="H133" s="122"/>
      <c r="I133" s="121"/>
      <c r="J133" s="121"/>
      <c r="K133" s="179">
        <f t="shared" si="37"/>
        <v>0</v>
      </c>
      <c r="L133" s="184">
        <f t="shared" si="38"/>
        <v>0</v>
      </c>
      <c r="M133" s="121">
        <f t="shared" si="39"/>
        <v>0</v>
      </c>
      <c r="N133" s="121">
        <f t="shared" si="40"/>
        <v>0</v>
      </c>
      <c r="O133" s="121">
        <f t="shared" si="41"/>
        <v>0</v>
      </c>
      <c r="P133" s="123">
        <f t="shared" si="42"/>
        <v>0</v>
      </c>
    </row>
    <row r="134" spans="1:25" ht="13.2" x14ac:dyDescent="0.2">
      <c r="A134" s="110">
        <v>13</v>
      </c>
      <c r="B134" s="106"/>
      <c r="C134" s="99" t="s">
        <v>313</v>
      </c>
      <c r="D134" s="106" t="s">
        <v>62</v>
      </c>
      <c r="E134" s="112">
        <f>18.6*1.1</f>
        <v>20.460000000000004</v>
      </c>
      <c r="F134" s="120"/>
      <c r="G134" s="121"/>
      <c r="H134" s="122"/>
      <c r="I134" s="121"/>
      <c r="J134" s="121"/>
      <c r="K134" s="179">
        <f t="shared" si="37"/>
        <v>0</v>
      </c>
      <c r="L134" s="184">
        <f t="shared" si="38"/>
        <v>0</v>
      </c>
      <c r="M134" s="121">
        <f t="shared" si="39"/>
        <v>0</v>
      </c>
      <c r="N134" s="121">
        <f t="shared" si="40"/>
        <v>0</v>
      </c>
      <c r="O134" s="121">
        <f t="shared" si="41"/>
        <v>0</v>
      </c>
      <c r="P134" s="123">
        <f t="shared" si="42"/>
        <v>0</v>
      </c>
    </row>
    <row r="135" spans="1:25" ht="26.4" x14ac:dyDescent="0.2">
      <c r="A135" s="110">
        <v>14</v>
      </c>
      <c r="B135" s="106"/>
      <c r="C135" s="99" t="s">
        <v>294</v>
      </c>
      <c r="D135" s="106" t="s">
        <v>96</v>
      </c>
      <c r="E135" s="154">
        <f>E130*0.17</f>
        <v>6.5671000000000008</v>
      </c>
      <c r="F135" s="120"/>
      <c r="G135" s="121"/>
      <c r="H135" s="122"/>
      <c r="I135" s="121"/>
      <c r="J135" s="121"/>
      <c r="K135" s="179">
        <f t="shared" si="37"/>
        <v>0</v>
      </c>
      <c r="L135" s="184">
        <f t="shared" si="38"/>
        <v>0</v>
      </c>
      <c r="M135" s="121">
        <f t="shared" si="39"/>
        <v>0</v>
      </c>
      <c r="N135" s="121">
        <f t="shared" si="40"/>
        <v>0</v>
      </c>
      <c r="O135" s="121">
        <f t="shared" si="41"/>
        <v>0</v>
      </c>
      <c r="P135" s="123">
        <f t="shared" si="42"/>
        <v>0</v>
      </c>
    </row>
    <row r="136" spans="1:25" ht="26.4" x14ac:dyDescent="0.2">
      <c r="A136" s="110">
        <v>15</v>
      </c>
      <c r="B136" s="106"/>
      <c r="C136" s="99" t="s">
        <v>480</v>
      </c>
      <c r="D136" s="106" t="s">
        <v>99</v>
      </c>
      <c r="E136" s="112">
        <f>E130*4</f>
        <v>154.52000000000001</v>
      </c>
      <c r="F136" s="120"/>
      <c r="G136" s="121"/>
      <c r="H136" s="122"/>
      <c r="I136" s="121"/>
      <c r="J136" s="121"/>
      <c r="K136" s="179">
        <f t="shared" si="37"/>
        <v>0</v>
      </c>
      <c r="L136" s="184">
        <f t="shared" si="38"/>
        <v>0</v>
      </c>
      <c r="M136" s="121">
        <f t="shared" si="39"/>
        <v>0</v>
      </c>
      <c r="N136" s="121">
        <f t="shared" si="40"/>
        <v>0</v>
      </c>
      <c r="O136" s="121">
        <f t="shared" si="41"/>
        <v>0</v>
      </c>
      <c r="P136" s="123">
        <f t="shared" si="42"/>
        <v>0</v>
      </c>
    </row>
    <row r="137" spans="1:25" ht="13.2" x14ac:dyDescent="0.2">
      <c r="A137" s="110">
        <v>16</v>
      </c>
      <c r="B137" s="106"/>
      <c r="C137" s="99" t="s">
        <v>119</v>
      </c>
      <c r="D137" s="106" t="s">
        <v>73</v>
      </c>
      <c r="E137" s="112">
        <f>E130</f>
        <v>38.630000000000003</v>
      </c>
      <c r="F137" s="120"/>
      <c r="G137" s="121"/>
      <c r="H137" s="122"/>
      <c r="I137" s="121"/>
      <c r="J137" s="121"/>
      <c r="K137" s="179">
        <f t="shared" si="37"/>
        <v>0</v>
      </c>
      <c r="L137" s="184">
        <f t="shared" si="38"/>
        <v>0</v>
      </c>
      <c r="M137" s="121">
        <f t="shared" si="39"/>
        <v>0</v>
      </c>
      <c r="N137" s="121">
        <f t="shared" si="40"/>
        <v>0</v>
      </c>
      <c r="O137" s="121">
        <f t="shared" si="41"/>
        <v>0</v>
      </c>
      <c r="P137" s="123">
        <f t="shared" si="42"/>
        <v>0</v>
      </c>
    </row>
    <row r="138" spans="1:25" ht="52.8" x14ac:dyDescent="0.2">
      <c r="A138" s="140"/>
      <c r="B138" s="107"/>
      <c r="C138" s="141" t="s">
        <v>463</v>
      </c>
      <c r="D138" s="142"/>
      <c r="E138" s="143"/>
      <c r="F138" s="144"/>
      <c r="G138" s="145"/>
      <c r="H138" s="145"/>
      <c r="I138" s="145"/>
      <c r="J138" s="145"/>
      <c r="K138" s="188"/>
      <c r="L138" s="189"/>
      <c r="M138" s="145"/>
      <c r="N138" s="145"/>
      <c r="O138" s="145"/>
      <c r="P138" s="153"/>
    </row>
    <row r="139" spans="1:25" ht="26.4" x14ac:dyDescent="0.2">
      <c r="A139" s="140"/>
      <c r="B139" s="107"/>
      <c r="C139" s="141" t="s">
        <v>464</v>
      </c>
      <c r="D139" s="142"/>
      <c r="E139" s="143"/>
      <c r="F139" s="144"/>
      <c r="G139" s="145"/>
      <c r="H139" s="145"/>
      <c r="I139" s="145"/>
      <c r="J139" s="145"/>
      <c r="K139" s="188"/>
      <c r="L139" s="189"/>
      <c r="M139" s="145"/>
      <c r="N139" s="145"/>
      <c r="O139" s="145"/>
      <c r="P139" s="153"/>
    </row>
    <row r="140" spans="1:25" ht="13.2" x14ac:dyDescent="0.2">
      <c r="A140" s="110">
        <v>1</v>
      </c>
      <c r="B140" s="106" t="s">
        <v>60</v>
      </c>
      <c r="C140" s="111" t="s">
        <v>338</v>
      </c>
      <c r="D140" s="106" t="s">
        <v>73</v>
      </c>
      <c r="E140" s="112">
        <v>5.22</v>
      </c>
      <c r="F140" s="120"/>
      <c r="G140" s="121"/>
      <c r="H140" s="122">
        <f>ROUND(F140*G140,2)</f>
        <v>0</v>
      </c>
      <c r="I140" s="121"/>
      <c r="J140" s="121"/>
      <c r="K140" s="179">
        <f t="shared" ref="K140:K152" si="43">ROUND(H140+J140+I140,2)</f>
        <v>0</v>
      </c>
      <c r="L140" s="184">
        <f t="shared" ref="L140:L152" si="44">ROUND(E140*F140,2)</f>
        <v>0</v>
      </c>
      <c r="M140" s="121">
        <f t="shared" ref="M140:M152" si="45">ROUND(E140*H140,2)</f>
        <v>0</v>
      </c>
      <c r="N140" s="121">
        <f t="shared" ref="N140:N152" si="46">ROUND(E140*I140,2)</f>
        <v>0</v>
      </c>
      <c r="O140" s="121">
        <f t="shared" ref="O140:O152" si="47">ROUND(E140*J140,2)</f>
        <v>0</v>
      </c>
      <c r="P140" s="123">
        <f t="shared" ref="P140:P152" si="48">ROUND(O140+N140+M140,2)</f>
        <v>0</v>
      </c>
    </row>
    <row r="141" spans="1:25" ht="13.2" x14ac:dyDescent="0.2">
      <c r="A141" s="110">
        <v>2</v>
      </c>
      <c r="B141" s="106"/>
      <c r="C141" s="99" t="s">
        <v>478</v>
      </c>
      <c r="D141" s="106" t="s">
        <v>99</v>
      </c>
      <c r="E141" s="112">
        <f>E140*40*1.1</f>
        <v>229.68</v>
      </c>
      <c r="F141" s="120"/>
      <c r="G141" s="121"/>
      <c r="H141" s="122"/>
      <c r="I141" s="121"/>
      <c r="J141" s="121"/>
      <c r="K141" s="179">
        <f t="shared" si="43"/>
        <v>0</v>
      </c>
      <c r="L141" s="184">
        <f t="shared" si="44"/>
        <v>0</v>
      </c>
      <c r="M141" s="121">
        <f t="shared" si="45"/>
        <v>0</v>
      </c>
      <c r="N141" s="121">
        <f t="shared" si="46"/>
        <v>0</v>
      </c>
      <c r="O141" s="121">
        <f t="shared" si="47"/>
        <v>0</v>
      </c>
      <c r="P141" s="123">
        <f t="shared" si="48"/>
        <v>0</v>
      </c>
    </row>
    <row r="142" spans="1:25" ht="13.2" x14ac:dyDescent="0.2">
      <c r="A142" s="110">
        <v>3</v>
      </c>
      <c r="B142" s="106" t="s">
        <v>60</v>
      </c>
      <c r="C142" s="111" t="s">
        <v>465</v>
      </c>
      <c r="D142" s="106" t="s">
        <v>73</v>
      </c>
      <c r="E142" s="112">
        <f>E140</f>
        <v>5.22</v>
      </c>
      <c r="F142" s="120"/>
      <c r="G142" s="121"/>
      <c r="H142" s="122">
        <f>ROUND(F142*G142,2)</f>
        <v>0</v>
      </c>
      <c r="I142" s="121"/>
      <c r="J142" s="121"/>
      <c r="K142" s="179">
        <f t="shared" si="43"/>
        <v>0</v>
      </c>
      <c r="L142" s="184">
        <f t="shared" si="44"/>
        <v>0</v>
      </c>
      <c r="M142" s="121">
        <f t="shared" si="45"/>
        <v>0</v>
      </c>
      <c r="N142" s="121">
        <f t="shared" si="46"/>
        <v>0</v>
      </c>
      <c r="O142" s="121">
        <f t="shared" si="47"/>
        <v>0</v>
      </c>
      <c r="P142" s="123">
        <f t="shared" si="48"/>
        <v>0</v>
      </c>
    </row>
    <row r="143" spans="1:25" ht="13.2" x14ac:dyDescent="0.2">
      <c r="A143" s="110">
        <v>4</v>
      </c>
      <c r="B143" s="106"/>
      <c r="C143" s="99" t="s">
        <v>479</v>
      </c>
      <c r="D143" s="106" t="s">
        <v>96</v>
      </c>
      <c r="E143" s="154">
        <f>E142*0.1*2</f>
        <v>1.044</v>
      </c>
      <c r="F143" s="120"/>
      <c r="G143" s="121"/>
      <c r="H143" s="122"/>
      <c r="I143" s="121"/>
      <c r="J143" s="121"/>
      <c r="K143" s="179">
        <f t="shared" si="43"/>
        <v>0</v>
      </c>
      <c r="L143" s="184">
        <f t="shared" si="44"/>
        <v>0</v>
      </c>
      <c r="M143" s="121">
        <f t="shared" si="45"/>
        <v>0</v>
      </c>
      <c r="N143" s="121">
        <f t="shared" si="46"/>
        <v>0</v>
      </c>
      <c r="O143" s="121">
        <f t="shared" si="47"/>
        <v>0</v>
      </c>
      <c r="P143" s="123">
        <f t="shared" si="48"/>
        <v>0</v>
      </c>
    </row>
    <row r="144" spans="1:25" ht="13.2" x14ac:dyDescent="0.2">
      <c r="A144" s="110">
        <v>5</v>
      </c>
      <c r="B144" s="106" t="s">
        <v>60</v>
      </c>
      <c r="C144" s="111" t="s">
        <v>466</v>
      </c>
      <c r="D144" s="106" t="s">
        <v>73</v>
      </c>
      <c r="E144" s="112">
        <f>E140</f>
        <v>5.22</v>
      </c>
      <c r="F144" s="120"/>
      <c r="G144" s="121"/>
      <c r="H144" s="122">
        <f>ROUND(F144*G144,2)</f>
        <v>0</v>
      </c>
      <c r="I144" s="121"/>
      <c r="J144" s="121"/>
      <c r="K144" s="179">
        <f t="shared" si="43"/>
        <v>0</v>
      </c>
      <c r="L144" s="184">
        <f t="shared" si="44"/>
        <v>0</v>
      </c>
      <c r="M144" s="121">
        <f t="shared" si="45"/>
        <v>0</v>
      </c>
      <c r="N144" s="121">
        <f t="shared" si="46"/>
        <v>0</v>
      </c>
      <c r="O144" s="121">
        <f t="shared" si="47"/>
        <v>0</v>
      </c>
      <c r="P144" s="123">
        <f t="shared" si="48"/>
        <v>0</v>
      </c>
    </row>
    <row r="145" spans="1:16" ht="13.2" x14ac:dyDescent="0.2">
      <c r="A145" s="110">
        <v>6</v>
      </c>
      <c r="B145" s="106"/>
      <c r="C145" s="99" t="s">
        <v>481</v>
      </c>
      <c r="D145" s="106" t="s">
        <v>99</v>
      </c>
      <c r="E145" s="112">
        <f>E144*6*1.1</f>
        <v>34.452000000000005</v>
      </c>
      <c r="F145" s="120"/>
      <c r="G145" s="121"/>
      <c r="H145" s="122"/>
      <c r="I145" s="121"/>
      <c r="J145" s="121"/>
      <c r="K145" s="179">
        <f t="shared" si="43"/>
        <v>0</v>
      </c>
      <c r="L145" s="184">
        <f t="shared" si="44"/>
        <v>0</v>
      </c>
      <c r="M145" s="121">
        <f t="shared" si="45"/>
        <v>0</v>
      </c>
      <c r="N145" s="121">
        <f t="shared" si="46"/>
        <v>0</v>
      </c>
      <c r="O145" s="121">
        <f t="shared" si="47"/>
        <v>0</v>
      </c>
      <c r="P145" s="123">
        <f t="shared" si="48"/>
        <v>0</v>
      </c>
    </row>
    <row r="146" spans="1:16" ht="13.2" x14ac:dyDescent="0.2">
      <c r="A146" s="110">
        <v>7</v>
      </c>
      <c r="B146" s="106" t="s">
        <v>60</v>
      </c>
      <c r="C146" s="111" t="s">
        <v>482</v>
      </c>
      <c r="D146" s="106" t="s">
        <v>73</v>
      </c>
      <c r="E146" s="112">
        <f>2.26</f>
        <v>2.2599999999999998</v>
      </c>
      <c r="F146" s="120"/>
      <c r="G146" s="121"/>
      <c r="H146" s="122">
        <f>ROUND(F146*G146,2)</f>
        <v>0</v>
      </c>
      <c r="I146" s="121"/>
      <c r="J146" s="121"/>
      <c r="K146" s="179">
        <f t="shared" si="43"/>
        <v>0</v>
      </c>
      <c r="L146" s="184">
        <f t="shared" si="44"/>
        <v>0</v>
      </c>
      <c r="M146" s="121">
        <f t="shared" si="45"/>
        <v>0</v>
      </c>
      <c r="N146" s="121">
        <f t="shared" si="46"/>
        <v>0</v>
      </c>
      <c r="O146" s="121">
        <f t="shared" si="47"/>
        <v>0</v>
      </c>
      <c r="P146" s="123">
        <f t="shared" si="48"/>
        <v>0</v>
      </c>
    </row>
    <row r="147" spans="1:16" ht="13.2" x14ac:dyDescent="0.2">
      <c r="A147" s="110">
        <v>8</v>
      </c>
      <c r="B147" s="106"/>
      <c r="C147" s="99" t="s">
        <v>292</v>
      </c>
      <c r="D147" s="106" t="s">
        <v>96</v>
      </c>
      <c r="E147" s="112">
        <f>E146*0.17*2</f>
        <v>0.76839999999999997</v>
      </c>
      <c r="F147" s="120"/>
      <c r="G147" s="121"/>
      <c r="H147" s="122"/>
      <c r="I147" s="121"/>
      <c r="J147" s="121"/>
      <c r="K147" s="179">
        <f t="shared" si="43"/>
        <v>0</v>
      </c>
      <c r="L147" s="184">
        <f t="shared" si="44"/>
        <v>0</v>
      </c>
      <c r="M147" s="121">
        <f t="shared" si="45"/>
        <v>0</v>
      </c>
      <c r="N147" s="121">
        <f t="shared" si="46"/>
        <v>0</v>
      </c>
      <c r="O147" s="121">
        <f t="shared" si="47"/>
        <v>0</v>
      </c>
      <c r="P147" s="123">
        <f t="shared" si="48"/>
        <v>0</v>
      </c>
    </row>
    <row r="148" spans="1:16" ht="13.2" x14ac:dyDescent="0.2">
      <c r="A148" s="110">
        <v>9</v>
      </c>
      <c r="B148" s="106"/>
      <c r="C148" s="99" t="s">
        <v>293</v>
      </c>
      <c r="D148" s="106" t="s">
        <v>99</v>
      </c>
      <c r="E148" s="112">
        <f>E146*1.53*6*1.1</f>
        <v>22.821480000000001</v>
      </c>
      <c r="F148" s="120"/>
      <c r="G148" s="121"/>
      <c r="H148" s="122"/>
      <c r="I148" s="121"/>
      <c r="J148" s="121"/>
      <c r="K148" s="179">
        <f t="shared" si="43"/>
        <v>0</v>
      </c>
      <c r="L148" s="184">
        <f t="shared" si="44"/>
        <v>0</v>
      </c>
      <c r="M148" s="121">
        <f t="shared" si="45"/>
        <v>0</v>
      </c>
      <c r="N148" s="121">
        <f t="shared" si="46"/>
        <v>0</v>
      </c>
      <c r="O148" s="121">
        <f t="shared" si="47"/>
        <v>0</v>
      </c>
      <c r="P148" s="123">
        <f t="shared" si="48"/>
        <v>0</v>
      </c>
    </row>
    <row r="149" spans="1:16" ht="26.4" x14ac:dyDescent="0.2">
      <c r="A149" s="110">
        <v>10</v>
      </c>
      <c r="B149" s="106" t="s">
        <v>60</v>
      </c>
      <c r="C149" s="111" t="s">
        <v>428</v>
      </c>
      <c r="D149" s="106" t="s">
        <v>73</v>
      </c>
      <c r="E149" s="112">
        <v>4.76</v>
      </c>
      <c r="F149" s="120"/>
      <c r="G149" s="121"/>
      <c r="H149" s="122">
        <f>ROUND(F149*G149,2)</f>
        <v>0</v>
      </c>
      <c r="I149" s="121"/>
      <c r="J149" s="121"/>
      <c r="K149" s="179">
        <f t="shared" si="43"/>
        <v>0</v>
      </c>
      <c r="L149" s="184">
        <f t="shared" si="44"/>
        <v>0</v>
      </c>
      <c r="M149" s="121">
        <f t="shared" si="45"/>
        <v>0</v>
      </c>
      <c r="N149" s="121">
        <f t="shared" si="46"/>
        <v>0</v>
      </c>
      <c r="O149" s="121">
        <f t="shared" si="47"/>
        <v>0</v>
      </c>
      <c r="P149" s="123">
        <f t="shared" si="48"/>
        <v>0</v>
      </c>
    </row>
    <row r="150" spans="1:16" ht="26.4" x14ac:dyDescent="0.2">
      <c r="A150" s="110">
        <v>11</v>
      </c>
      <c r="B150" s="106"/>
      <c r="C150" s="99" t="s">
        <v>483</v>
      </c>
      <c r="D150" s="106" t="s">
        <v>73</v>
      </c>
      <c r="E150" s="112">
        <f>E149*1.2</f>
        <v>5.7119999999999997</v>
      </c>
      <c r="F150" s="120"/>
      <c r="G150" s="121"/>
      <c r="H150" s="122"/>
      <c r="I150" s="121"/>
      <c r="J150" s="121"/>
      <c r="K150" s="179">
        <f t="shared" si="43"/>
        <v>0</v>
      </c>
      <c r="L150" s="184">
        <f t="shared" si="44"/>
        <v>0</v>
      </c>
      <c r="M150" s="121">
        <f t="shared" si="45"/>
        <v>0</v>
      </c>
      <c r="N150" s="121">
        <f t="shared" si="46"/>
        <v>0</v>
      </c>
      <c r="O150" s="121">
        <f t="shared" si="47"/>
        <v>0</v>
      </c>
      <c r="P150" s="123">
        <f t="shared" si="48"/>
        <v>0</v>
      </c>
    </row>
    <row r="151" spans="1:16" ht="13.2" x14ac:dyDescent="0.2">
      <c r="A151" s="110">
        <v>12</v>
      </c>
      <c r="B151" s="106"/>
      <c r="C151" s="99" t="s">
        <v>341</v>
      </c>
      <c r="D151" s="106" t="s">
        <v>99</v>
      </c>
      <c r="E151" s="112">
        <f>E149*0.3</f>
        <v>1.4279999999999999</v>
      </c>
      <c r="F151" s="120"/>
      <c r="G151" s="121"/>
      <c r="H151" s="122"/>
      <c r="I151" s="121"/>
      <c r="J151" s="121"/>
      <c r="K151" s="179">
        <f t="shared" si="43"/>
        <v>0</v>
      </c>
      <c r="L151" s="184">
        <f t="shared" si="44"/>
        <v>0</v>
      </c>
      <c r="M151" s="121">
        <f t="shared" si="45"/>
        <v>0</v>
      </c>
      <c r="N151" s="121">
        <f t="shared" si="46"/>
        <v>0</v>
      </c>
      <c r="O151" s="121">
        <f t="shared" si="47"/>
        <v>0</v>
      </c>
      <c r="P151" s="123">
        <f t="shared" si="48"/>
        <v>0</v>
      </c>
    </row>
    <row r="152" spans="1:16" ht="13.2" x14ac:dyDescent="0.2">
      <c r="A152" s="110">
        <v>13</v>
      </c>
      <c r="B152" s="106"/>
      <c r="C152" s="99" t="s">
        <v>342</v>
      </c>
      <c r="D152" s="106" t="s">
        <v>343</v>
      </c>
      <c r="E152" s="154">
        <f>E149/50</f>
        <v>9.5199999999999993E-2</v>
      </c>
      <c r="F152" s="120"/>
      <c r="G152" s="121"/>
      <c r="H152" s="122"/>
      <c r="I152" s="121"/>
      <c r="J152" s="121"/>
      <c r="K152" s="179">
        <f t="shared" si="43"/>
        <v>0</v>
      </c>
      <c r="L152" s="184">
        <f t="shared" si="44"/>
        <v>0</v>
      </c>
      <c r="M152" s="121">
        <f t="shared" si="45"/>
        <v>0</v>
      </c>
      <c r="N152" s="121">
        <f t="shared" si="46"/>
        <v>0</v>
      </c>
      <c r="O152" s="121">
        <f t="shared" si="47"/>
        <v>0</v>
      </c>
      <c r="P152" s="123">
        <f t="shared" si="48"/>
        <v>0</v>
      </c>
    </row>
    <row r="153" spans="1:16" ht="26.4" x14ac:dyDescent="0.2">
      <c r="A153" s="140"/>
      <c r="B153" s="107"/>
      <c r="C153" s="141" t="s">
        <v>467</v>
      </c>
      <c r="D153" s="142"/>
      <c r="E153" s="143"/>
      <c r="F153" s="144"/>
      <c r="G153" s="145"/>
      <c r="H153" s="145"/>
      <c r="I153" s="145"/>
      <c r="J153" s="145"/>
      <c r="K153" s="188"/>
      <c r="L153" s="189"/>
      <c r="M153" s="145"/>
      <c r="N153" s="145"/>
      <c r="O153" s="145"/>
      <c r="P153" s="153"/>
    </row>
    <row r="154" spans="1:16" ht="13.2" x14ac:dyDescent="0.2">
      <c r="A154" s="110">
        <v>1</v>
      </c>
      <c r="B154" s="106" t="s">
        <v>60</v>
      </c>
      <c r="C154" s="111" t="s">
        <v>338</v>
      </c>
      <c r="D154" s="106" t="s">
        <v>73</v>
      </c>
      <c r="E154" s="112">
        <v>57.42</v>
      </c>
      <c r="F154" s="120"/>
      <c r="G154" s="121"/>
      <c r="H154" s="122">
        <f>ROUND(F154*G154,2)</f>
        <v>0</v>
      </c>
      <c r="I154" s="121"/>
      <c r="J154" s="121"/>
      <c r="K154" s="179">
        <f t="shared" ref="K154:K166" si="49">ROUND(H154+J154+I154,2)</f>
        <v>0</v>
      </c>
      <c r="L154" s="184">
        <f t="shared" ref="L154:L166" si="50">ROUND(E154*F154,2)</f>
        <v>0</v>
      </c>
      <c r="M154" s="121">
        <f t="shared" ref="M154:M166" si="51">ROUND(E154*H154,2)</f>
        <v>0</v>
      </c>
      <c r="N154" s="121">
        <f t="shared" ref="N154:N166" si="52">ROUND(E154*I154,2)</f>
        <v>0</v>
      </c>
      <c r="O154" s="121">
        <f t="shared" ref="O154:O166" si="53">ROUND(E154*J154,2)</f>
        <v>0</v>
      </c>
      <c r="P154" s="123">
        <f t="shared" ref="P154:P166" si="54">ROUND(O154+N154+M154,2)</f>
        <v>0</v>
      </c>
    </row>
    <row r="155" spans="1:16" ht="13.2" x14ac:dyDescent="0.2">
      <c r="A155" s="110">
        <v>2</v>
      </c>
      <c r="B155" s="106"/>
      <c r="C155" s="99" t="s">
        <v>478</v>
      </c>
      <c r="D155" s="106" t="s">
        <v>99</v>
      </c>
      <c r="E155" s="112">
        <f>E154*40*1.1</f>
        <v>2526.4800000000005</v>
      </c>
      <c r="F155" s="120"/>
      <c r="G155" s="121"/>
      <c r="H155" s="122"/>
      <c r="I155" s="121"/>
      <c r="J155" s="121"/>
      <c r="K155" s="179">
        <f t="shared" si="49"/>
        <v>0</v>
      </c>
      <c r="L155" s="184">
        <f t="shared" si="50"/>
        <v>0</v>
      </c>
      <c r="M155" s="121">
        <f t="shared" si="51"/>
        <v>0</v>
      </c>
      <c r="N155" s="121">
        <f t="shared" si="52"/>
        <v>0</v>
      </c>
      <c r="O155" s="121">
        <f t="shared" si="53"/>
        <v>0</v>
      </c>
      <c r="P155" s="123">
        <f t="shared" si="54"/>
        <v>0</v>
      </c>
    </row>
    <row r="156" spans="1:16" ht="13.2" x14ac:dyDescent="0.2">
      <c r="A156" s="110">
        <v>3</v>
      </c>
      <c r="B156" s="106" t="s">
        <v>60</v>
      </c>
      <c r="C156" s="111" t="s">
        <v>465</v>
      </c>
      <c r="D156" s="106" t="s">
        <v>73</v>
      </c>
      <c r="E156" s="112">
        <f>E154</f>
        <v>57.42</v>
      </c>
      <c r="F156" s="120"/>
      <c r="G156" s="121"/>
      <c r="H156" s="122">
        <f>ROUND(F156*G156,2)</f>
        <v>0</v>
      </c>
      <c r="I156" s="121"/>
      <c r="J156" s="121"/>
      <c r="K156" s="179">
        <f t="shared" si="49"/>
        <v>0</v>
      </c>
      <c r="L156" s="184">
        <f t="shared" si="50"/>
        <v>0</v>
      </c>
      <c r="M156" s="121">
        <f t="shared" si="51"/>
        <v>0</v>
      </c>
      <c r="N156" s="121">
        <f t="shared" si="52"/>
        <v>0</v>
      </c>
      <c r="O156" s="121">
        <f t="shared" si="53"/>
        <v>0</v>
      </c>
      <c r="P156" s="123">
        <f t="shared" si="54"/>
        <v>0</v>
      </c>
    </row>
    <row r="157" spans="1:16" ht="13.2" x14ac:dyDescent="0.2">
      <c r="A157" s="110">
        <v>4</v>
      </c>
      <c r="B157" s="106"/>
      <c r="C157" s="99" t="s">
        <v>479</v>
      </c>
      <c r="D157" s="106" t="s">
        <v>96</v>
      </c>
      <c r="E157" s="154">
        <f>E156*0.1*2</f>
        <v>11.484000000000002</v>
      </c>
      <c r="F157" s="120"/>
      <c r="G157" s="121"/>
      <c r="H157" s="122"/>
      <c r="I157" s="121"/>
      <c r="J157" s="121"/>
      <c r="K157" s="179">
        <f t="shared" si="49"/>
        <v>0</v>
      </c>
      <c r="L157" s="184">
        <f t="shared" si="50"/>
        <v>0</v>
      </c>
      <c r="M157" s="121">
        <f t="shared" si="51"/>
        <v>0</v>
      </c>
      <c r="N157" s="121">
        <f t="shared" si="52"/>
        <v>0</v>
      </c>
      <c r="O157" s="121">
        <f t="shared" si="53"/>
        <v>0</v>
      </c>
      <c r="P157" s="123">
        <f t="shared" si="54"/>
        <v>0</v>
      </c>
    </row>
    <row r="158" spans="1:16" ht="13.2" x14ac:dyDescent="0.2">
      <c r="A158" s="110">
        <v>5</v>
      </c>
      <c r="B158" s="106" t="s">
        <v>60</v>
      </c>
      <c r="C158" s="111" t="s">
        <v>466</v>
      </c>
      <c r="D158" s="106" t="s">
        <v>73</v>
      </c>
      <c r="E158" s="112">
        <f>E154</f>
        <v>57.42</v>
      </c>
      <c r="F158" s="120"/>
      <c r="G158" s="121"/>
      <c r="H158" s="122">
        <f>ROUND(F158*G158,2)</f>
        <v>0</v>
      </c>
      <c r="I158" s="121"/>
      <c r="J158" s="121"/>
      <c r="K158" s="179">
        <f t="shared" si="49"/>
        <v>0</v>
      </c>
      <c r="L158" s="184">
        <f t="shared" si="50"/>
        <v>0</v>
      </c>
      <c r="M158" s="121">
        <f t="shared" si="51"/>
        <v>0</v>
      </c>
      <c r="N158" s="121">
        <f t="shared" si="52"/>
        <v>0</v>
      </c>
      <c r="O158" s="121">
        <f t="shared" si="53"/>
        <v>0</v>
      </c>
      <c r="P158" s="123">
        <f t="shared" si="54"/>
        <v>0</v>
      </c>
    </row>
    <row r="159" spans="1:16" ht="13.2" x14ac:dyDescent="0.2">
      <c r="A159" s="110">
        <v>6</v>
      </c>
      <c r="B159" s="106"/>
      <c r="C159" s="99" t="s">
        <v>481</v>
      </c>
      <c r="D159" s="106" t="s">
        <v>99</v>
      </c>
      <c r="E159" s="112">
        <f>E158*6*1.1</f>
        <v>378.97200000000004</v>
      </c>
      <c r="F159" s="120"/>
      <c r="G159" s="121"/>
      <c r="H159" s="122"/>
      <c r="I159" s="121"/>
      <c r="J159" s="121"/>
      <c r="K159" s="179">
        <f t="shared" si="49"/>
        <v>0</v>
      </c>
      <c r="L159" s="184">
        <f t="shared" si="50"/>
        <v>0</v>
      </c>
      <c r="M159" s="121">
        <f t="shared" si="51"/>
        <v>0</v>
      </c>
      <c r="N159" s="121">
        <f t="shared" si="52"/>
        <v>0</v>
      </c>
      <c r="O159" s="121">
        <f t="shared" si="53"/>
        <v>0</v>
      </c>
      <c r="P159" s="123">
        <f t="shared" si="54"/>
        <v>0</v>
      </c>
    </row>
    <row r="160" spans="1:16" ht="13.2" x14ac:dyDescent="0.2">
      <c r="A160" s="110">
        <v>7</v>
      </c>
      <c r="B160" s="106" t="s">
        <v>60</v>
      </c>
      <c r="C160" s="111" t="s">
        <v>247</v>
      </c>
      <c r="D160" s="106" t="s">
        <v>73</v>
      </c>
      <c r="E160" s="112">
        <v>18.649999999999999</v>
      </c>
      <c r="F160" s="120"/>
      <c r="G160" s="121"/>
      <c r="H160" s="122">
        <f>ROUND(F160*G160,2)</f>
        <v>0</v>
      </c>
      <c r="I160" s="121"/>
      <c r="J160" s="121"/>
      <c r="K160" s="179">
        <f t="shared" si="49"/>
        <v>0</v>
      </c>
      <c r="L160" s="184">
        <f t="shared" si="50"/>
        <v>0</v>
      </c>
      <c r="M160" s="121">
        <f t="shared" si="51"/>
        <v>0</v>
      </c>
      <c r="N160" s="121">
        <f t="shared" si="52"/>
        <v>0</v>
      </c>
      <c r="O160" s="121">
        <f t="shared" si="53"/>
        <v>0</v>
      </c>
      <c r="P160" s="123">
        <f t="shared" si="54"/>
        <v>0</v>
      </c>
    </row>
    <row r="161" spans="1:16" ht="13.2" x14ac:dyDescent="0.2">
      <c r="A161" s="110">
        <v>8</v>
      </c>
      <c r="B161" s="106"/>
      <c r="C161" s="99" t="s">
        <v>292</v>
      </c>
      <c r="D161" s="106" t="s">
        <v>96</v>
      </c>
      <c r="E161" s="112">
        <f>E160*0.17</f>
        <v>3.1705000000000001</v>
      </c>
      <c r="F161" s="120"/>
      <c r="G161" s="121"/>
      <c r="H161" s="122"/>
      <c r="I161" s="121"/>
      <c r="J161" s="121"/>
      <c r="K161" s="179">
        <f t="shared" si="49"/>
        <v>0</v>
      </c>
      <c r="L161" s="184">
        <f t="shared" si="50"/>
        <v>0</v>
      </c>
      <c r="M161" s="121">
        <f t="shared" si="51"/>
        <v>0</v>
      </c>
      <c r="N161" s="121">
        <f t="shared" si="52"/>
        <v>0</v>
      </c>
      <c r="O161" s="121">
        <f t="shared" si="53"/>
        <v>0</v>
      </c>
      <c r="P161" s="123">
        <f t="shared" si="54"/>
        <v>0</v>
      </c>
    </row>
    <row r="162" spans="1:16" ht="13.2" x14ac:dyDescent="0.2">
      <c r="A162" s="110">
        <v>9</v>
      </c>
      <c r="B162" s="106"/>
      <c r="C162" s="99" t="s">
        <v>293</v>
      </c>
      <c r="D162" s="106" t="s">
        <v>99</v>
      </c>
      <c r="E162" s="112">
        <f>E160*1.53*6*1.1</f>
        <v>188.32770000000002</v>
      </c>
      <c r="F162" s="120"/>
      <c r="G162" s="121"/>
      <c r="H162" s="122"/>
      <c r="I162" s="121"/>
      <c r="J162" s="121"/>
      <c r="K162" s="179">
        <f t="shared" si="49"/>
        <v>0</v>
      </c>
      <c r="L162" s="184">
        <f t="shared" si="50"/>
        <v>0</v>
      </c>
      <c r="M162" s="121">
        <f t="shared" si="51"/>
        <v>0</v>
      </c>
      <c r="N162" s="121">
        <f t="shared" si="52"/>
        <v>0</v>
      </c>
      <c r="O162" s="121">
        <f t="shared" si="53"/>
        <v>0</v>
      </c>
      <c r="P162" s="123">
        <f t="shared" si="54"/>
        <v>0</v>
      </c>
    </row>
    <row r="163" spans="1:16" ht="13.2" x14ac:dyDescent="0.2">
      <c r="A163" s="110">
        <v>10</v>
      </c>
      <c r="B163" s="106"/>
      <c r="C163" s="99" t="s">
        <v>101</v>
      </c>
      <c r="D163" s="106" t="s">
        <v>73</v>
      </c>
      <c r="E163" s="154">
        <f>E160*1.2</f>
        <v>22.38</v>
      </c>
      <c r="F163" s="120"/>
      <c r="G163" s="121"/>
      <c r="H163" s="122"/>
      <c r="I163" s="121"/>
      <c r="J163" s="121"/>
      <c r="K163" s="179">
        <f t="shared" si="49"/>
        <v>0</v>
      </c>
      <c r="L163" s="184">
        <f t="shared" si="50"/>
        <v>0</v>
      </c>
      <c r="M163" s="121">
        <f t="shared" si="51"/>
        <v>0</v>
      </c>
      <c r="N163" s="121">
        <f t="shared" si="52"/>
        <v>0</v>
      </c>
      <c r="O163" s="121">
        <f t="shared" si="53"/>
        <v>0</v>
      </c>
      <c r="P163" s="123">
        <f t="shared" si="54"/>
        <v>0</v>
      </c>
    </row>
    <row r="164" spans="1:16" ht="26.4" x14ac:dyDescent="0.2">
      <c r="A164" s="110">
        <v>11</v>
      </c>
      <c r="B164" s="106"/>
      <c r="C164" s="99" t="s">
        <v>294</v>
      </c>
      <c r="D164" s="106" t="s">
        <v>96</v>
      </c>
      <c r="E164" s="154">
        <f>E160*0.17</f>
        <v>3.1705000000000001</v>
      </c>
      <c r="F164" s="120"/>
      <c r="G164" s="121"/>
      <c r="H164" s="122"/>
      <c r="I164" s="121"/>
      <c r="J164" s="121"/>
      <c r="K164" s="179">
        <f t="shared" si="49"/>
        <v>0</v>
      </c>
      <c r="L164" s="184">
        <f t="shared" si="50"/>
        <v>0</v>
      </c>
      <c r="M164" s="121">
        <f t="shared" si="51"/>
        <v>0</v>
      </c>
      <c r="N164" s="121">
        <f t="shared" si="52"/>
        <v>0</v>
      </c>
      <c r="O164" s="121">
        <f t="shared" si="53"/>
        <v>0</v>
      </c>
      <c r="P164" s="123">
        <f t="shared" si="54"/>
        <v>0</v>
      </c>
    </row>
    <row r="165" spans="1:16" ht="26.4" x14ac:dyDescent="0.2">
      <c r="A165" s="110">
        <v>12</v>
      </c>
      <c r="B165" s="106"/>
      <c r="C165" s="99" t="s">
        <v>480</v>
      </c>
      <c r="D165" s="106" t="s">
        <v>99</v>
      </c>
      <c r="E165" s="112">
        <f>E160*4</f>
        <v>74.599999999999994</v>
      </c>
      <c r="F165" s="120"/>
      <c r="G165" s="121"/>
      <c r="H165" s="122"/>
      <c r="I165" s="121"/>
      <c r="J165" s="121"/>
      <c r="K165" s="179">
        <f t="shared" si="49"/>
        <v>0</v>
      </c>
      <c r="L165" s="184">
        <f t="shared" si="50"/>
        <v>0</v>
      </c>
      <c r="M165" s="121">
        <f t="shared" si="51"/>
        <v>0</v>
      </c>
      <c r="N165" s="121">
        <f t="shared" si="52"/>
        <v>0</v>
      </c>
      <c r="O165" s="121">
        <f t="shared" si="53"/>
        <v>0</v>
      </c>
      <c r="P165" s="123">
        <f t="shared" si="54"/>
        <v>0</v>
      </c>
    </row>
    <row r="166" spans="1:16" ht="13.8" thickBot="1" x14ac:dyDescent="0.25">
      <c r="A166" s="110">
        <v>13</v>
      </c>
      <c r="B166" s="106"/>
      <c r="C166" s="99" t="s">
        <v>119</v>
      </c>
      <c r="D166" s="106" t="s">
        <v>73</v>
      </c>
      <c r="E166" s="112">
        <f>E160</f>
        <v>18.649999999999999</v>
      </c>
      <c r="F166" s="120"/>
      <c r="G166" s="121"/>
      <c r="H166" s="122"/>
      <c r="I166" s="121"/>
      <c r="J166" s="121"/>
      <c r="K166" s="179">
        <f t="shared" si="49"/>
        <v>0</v>
      </c>
      <c r="L166" s="185">
        <f t="shared" si="50"/>
        <v>0</v>
      </c>
      <c r="M166" s="156">
        <f t="shared" si="51"/>
        <v>0</v>
      </c>
      <c r="N166" s="156">
        <f t="shared" si="52"/>
        <v>0</v>
      </c>
      <c r="O166" s="156">
        <f t="shared" si="53"/>
        <v>0</v>
      </c>
      <c r="P166" s="157">
        <f t="shared" si="54"/>
        <v>0</v>
      </c>
    </row>
    <row r="167" spans="1:16" ht="10.8" thickBot="1" x14ac:dyDescent="0.25">
      <c r="A167" s="285" t="s">
        <v>700</v>
      </c>
      <c r="B167" s="286"/>
      <c r="C167" s="286"/>
      <c r="D167" s="286"/>
      <c r="E167" s="286"/>
      <c r="F167" s="286"/>
      <c r="G167" s="286"/>
      <c r="H167" s="286"/>
      <c r="I167" s="286"/>
      <c r="J167" s="286"/>
      <c r="K167" s="287"/>
      <c r="L167" s="69">
        <f>SUM(L14:L166)</f>
        <v>0</v>
      </c>
      <c r="M167" s="70">
        <f>SUM(M14:M166)</f>
        <v>0</v>
      </c>
      <c r="N167" s="70">
        <f>SUM(N14:N166)</f>
        <v>0</v>
      </c>
      <c r="O167" s="70">
        <f>SUM(O14:O166)</f>
        <v>0</v>
      </c>
      <c r="P167" s="71">
        <f>SUM(P14:P166)</f>
        <v>0</v>
      </c>
    </row>
    <row r="168" spans="1:16" x14ac:dyDescent="0.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</row>
    <row r="169" spans="1:16" x14ac:dyDescent="0.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</row>
    <row r="170" spans="1:16" x14ac:dyDescent="0.2">
      <c r="A170" s="1" t="s">
        <v>14</v>
      </c>
      <c r="B170" s="17"/>
      <c r="C170" s="284">
        <f>'Kops a'!C37:H37</f>
        <v>0</v>
      </c>
      <c r="D170" s="284"/>
      <c r="E170" s="284"/>
      <c r="F170" s="284"/>
      <c r="G170" s="284"/>
      <c r="H170" s="284"/>
      <c r="I170" s="17"/>
      <c r="J170" s="17"/>
      <c r="K170" s="17"/>
      <c r="L170" s="17"/>
      <c r="M170" s="17"/>
      <c r="N170" s="17"/>
      <c r="O170" s="17"/>
      <c r="P170" s="17"/>
    </row>
    <row r="171" spans="1:16" x14ac:dyDescent="0.2">
      <c r="A171" s="17"/>
      <c r="B171" s="17"/>
      <c r="C171" s="219" t="s">
        <v>15</v>
      </c>
      <c r="D171" s="219"/>
      <c r="E171" s="219"/>
      <c r="F171" s="219"/>
      <c r="G171" s="219"/>
      <c r="H171" s="219"/>
      <c r="I171" s="17"/>
      <c r="J171" s="17"/>
      <c r="K171" s="17"/>
      <c r="L171" s="17"/>
      <c r="M171" s="17"/>
      <c r="N171" s="17"/>
      <c r="O171" s="17"/>
      <c r="P171" s="17"/>
    </row>
    <row r="172" spans="1:16" x14ac:dyDescent="0.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</row>
    <row r="173" spans="1:16" x14ac:dyDescent="0.2">
      <c r="A173" s="88" t="str">
        <f>'Kops a'!A40</f>
        <v xml:space="preserve">Tāme sastādīta </v>
      </c>
      <c r="B173" s="89"/>
      <c r="C173" s="89"/>
      <c r="D173" s="89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</row>
    <row r="174" spans="1:16" x14ac:dyDescent="0.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</row>
    <row r="175" spans="1:16" x14ac:dyDescent="0.2">
      <c r="A175" s="1" t="s">
        <v>37</v>
      </c>
      <c r="B175" s="17"/>
      <c r="C175" s="284">
        <f>'Kops a'!C42:H42</f>
        <v>0</v>
      </c>
      <c r="D175" s="284"/>
      <c r="E175" s="284"/>
      <c r="F175" s="284"/>
      <c r="G175" s="284"/>
      <c r="H175" s="284"/>
      <c r="I175" s="17"/>
      <c r="J175" s="17"/>
      <c r="K175" s="17"/>
      <c r="L175" s="17"/>
      <c r="M175" s="17"/>
      <c r="N175" s="17"/>
      <c r="O175" s="17"/>
      <c r="P175" s="17"/>
    </row>
    <row r="176" spans="1:16" x14ac:dyDescent="0.2">
      <c r="A176" s="17"/>
      <c r="B176" s="17"/>
      <c r="C176" s="219" t="s">
        <v>15</v>
      </c>
      <c r="D176" s="219"/>
      <c r="E176" s="219"/>
      <c r="F176" s="219"/>
      <c r="G176" s="219"/>
      <c r="H176" s="219"/>
      <c r="I176" s="17"/>
      <c r="J176" s="17"/>
      <c r="K176" s="17"/>
      <c r="L176" s="17"/>
      <c r="M176" s="17"/>
      <c r="N176" s="17"/>
      <c r="O176" s="17"/>
      <c r="P176" s="17"/>
    </row>
    <row r="177" spans="1:16" x14ac:dyDescent="0.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</row>
    <row r="178" spans="1:16" x14ac:dyDescent="0.2">
      <c r="A178" s="88" t="s">
        <v>54</v>
      </c>
      <c r="B178" s="89"/>
      <c r="C178" s="93">
        <f>'Kops a'!C45</f>
        <v>0</v>
      </c>
      <c r="D178" s="50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</row>
    <row r="179" spans="1:16" x14ac:dyDescent="0.2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</row>
  </sheetData>
  <mergeCells count="27">
    <mergeCell ref="A9:F9"/>
    <mergeCell ref="C176:H176"/>
    <mergeCell ref="A167:K167"/>
    <mergeCell ref="C170:H170"/>
    <mergeCell ref="C171:H171"/>
    <mergeCell ref="C175:H175"/>
    <mergeCell ref="D8:L8"/>
    <mergeCell ref="Q30:Y30"/>
    <mergeCell ref="Q37:Y37"/>
    <mergeCell ref="Q131:Y131"/>
    <mergeCell ref="Q43:Y43"/>
    <mergeCell ref="Q69:Y72"/>
    <mergeCell ref="N9:O9"/>
    <mergeCell ref="L12:P12"/>
    <mergeCell ref="F12:K12"/>
    <mergeCell ref="J9:M9"/>
    <mergeCell ref="A12:A13"/>
    <mergeCell ref="B12:B13"/>
    <mergeCell ref="C12:C13"/>
    <mergeCell ref="D12:D13"/>
    <mergeCell ref="E12:E13"/>
    <mergeCell ref="C2:I2"/>
    <mergeCell ref="C3:I3"/>
    <mergeCell ref="D5:L5"/>
    <mergeCell ref="D6:L6"/>
    <mergeCell ref="D7:L7"/>
    <mergeCell ref="C4:I4"/>
  </mergeCells>
  <conditionalFormatting sqref="I15:J166 A15:G166">
    <cfRule type="cellIs" dxfId="221" priority="27" operator="equal">
      <formula>0</formula>
    </cfRule>
  </conditionalFormatting>
  <conditionalFormatting sqref="N9:O9 H14:H166 K14:P166">
    <cfRule type="cellIs" dxfId="220" priority="26" operator="equal">
      <formula>0</formula>
    </cfRule>
  </conditionalFormatting>
  <conditionalFormatting sqref="A9:F9">
    <cfRule type="containsText" dxfId="219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218" priority="23" operator="equal">
      <formula>0</formula>
    </cfRule>
  </conditionalFormatting>
  <conditionalFormatting sqref="O10">
    <cfRule type="cellIs" dxfId="217" priority="22" operator="equal">
      <formula>"20__. gada __. _________"</formula>
    </cfRule>
  </conditionalFormatting>
  <conditionalFormatting sqref="A167:K167">
    <cfRule type="containsText" dxfId="216" priority="21" operator="containsText" text="Tiešās izmaksas kopā, t. sk. darba devēja sociālais nodoklis __.__% ">
      <formula>NOT(ISERROR(SEARCH("Tiešās izmaksas kopā, t. sk. darba devēja sociālais nodoklis __.__% ",A167)))</formula>
    </cfRule>
  </conditionalFormatting>
  <conditionalFormatting sqref="L167:P167">
    <cfRule type="cellIs" dxfId="215" priority="16" operator="equal">
      <formula>0</formula>
    </cfRule>
  </conditionalFormatting>
  <conditionalFormatting sqref="C4:I4">
    <cfRule type="cellIs" dxfId="214" priority="15" operator="equal">
      <formula>0</formula>
    </cfRule>
  </conditionalFormatting>
  <conditionalFormatting sqref="D5:L8">
    <cfRule type="cellIs" dxfId="213" priority="11" operator="equal">
      <formula>0</formula>
    </cfRule>
  </conditionalFormatting>
  <conditionalFormatting sqref="A14:B14 D14:G14">
    <cfRule type="cellIs" dxfId="212" priority="10" operator="equal">
      <formula>0</formula>
    </cfRule>
  </conditionalFormatting>
  <conditionalFormatting sqref="C14">
    <cfRule type="cellIs" dxfId="211" priority="9" operator="equal">
      <formula>0</formula>
    </cfRule>
  </conditionalFormatting>
  <conditionalFormatting sqref="I14:J14">
    <cfRule type="cellIs" dxfId="210" priority="8" operator="equal">
      <formula>0</formula>
    </cfRule>
  </conditionalFormatting>
  <conditionalFormatting sqref="P10">
    <cfRule type="cellIs" dxfId="209" priority="7" operator="equal">
      <formula>"20__. gada __. _________"</formula>
    </cfRule>
  </conditionalFormatting>
  <conditionalFormatting sqref="C175:H175">
    <cfRule type="cellIs" dxfId="208" priority="4" operator="equal">
      <formula>0</formula>
    </cfRule>
  </conditionalFormatting>
  <conditionalFormatting sqref="C170:H170">
    <cfRule type="cellIs" dxfId="207" priority="3" operator="equal">
      <formula>0</formula>
    </cfRule>
  </conditionalFormatting>
  <conditionalFormatting sqref="C175:H175 C178 C170:H170">
    <cfRule type="cellIs" dxfId="206" priority="2" operator="equal">
      <formula>0</formula>
    </cfRule>
  </conditionalFormatting>
  <conditionalFormatting sqref="D1">
    <cfRule type="cellIs" dxfId="205" priority="1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6249DFF-DD18-40B1-AB61-D280DA74812E}">
            <xm:f>NOT(ISERROR(SEARCH("Tāme sastādīta ____. gada ___. ______________",A173)))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A173</xm:sqref>
        </x14:conditionalFormatting>
        <x14:conditionalFormatting xmlns:xm="http://schemas.microsoft.com/office/excel/2006/main">
          <x14:cfRule type="containsText" priority="5" operator="containsText" id="{708D048F-4463-4EB3-AF79-B8653AFFB42B}">
            <xm:f>NOT(ISERROR(SEARCH("Sertifikāta Nr. _________________________________",A178)))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A178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  <vt:lpstr>8a</vt:lpstr>
      <vt:lpstr>9a</vt:lpstr>
      <vt:lpstr>10a</vt:lpstr>
      <vt:lpstr>11a</vt:lpstr>
      <vt:lpstr>12a</vt:lpstr>
      <vt:lpstr>13a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User</cp:lastModifiedBy>
  <cp:lastPrinted>2019-09-19T08:21:13Z</cp:lastPrinted>
  <dcterms:created xsi:type="dcterms:W3CDTF">2019-03-11T11:42:22Z</dcterms:created>
  <dcterms:modified xsi:type="dcterms:W3CDTF">2021-02-15T13:35:35Z</dcterms:modified>
</cp:coreProperties>
</file>